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32" windowWidth="21840" windowHeight="9780" tabRatio="1000"/>
  </bookViews>
  <sheets>
    <sheet name="пр1_ПРАЙС_09.11.2023 " sheetId="16" r:id="rId1"/>
    <sheet name="пр2_Перечень 09.11.2023" sheetId="14" r:id="rId2"/>
    <sheet name="15.08.2023 материалы" sheetId="15" r:id="rId3"/>
    <sheet name="импланты(комплекс)" sheetId="18" r:id="rId4"/>
    <sheet name="закрытый кюретаж(комплекс)" sheetId="19" r:id="rId5"/>
  </sheets>
  <externalReferences>
    <externalReference r:id="rId6"/>
  </externalReferences>
  <definedNames>
    <definedName name="_xlnm.Print_Area" localSheetId="0">'пр1_ПРАЙС_09.11.2023 '!$A$1:$D$767</definedName>
  </definedNames>
  <calcPr calcId="124519"/>
</workbook>
</file>

<file path=xl/calcChain.xml><?xml version="1.0" encoding="utf-8"?>
<calcChain xmlns="http://schemas.openxmlformats.org/spreadsheetml/2006/main">
  <c r="D214" i="14"/>
  <c r="F17" i="15"/>
  <c r="J17" s="1"/>
  <c r="M17" s="1"/>
  <c r="N17" s="1"/>
  <c r="F79"/>
  <c r="I79" s="1"/>
  <c r="J79" s="1"/>
  <c r="M79" s="1"/>
  <c r="N79" s="1"/>
  <c r="F456"/>
  <c r="I456" s="1"/>
  <c r="J456" s="1"/>
  <c r="M456" s="1"/>
  <c r="N456" s="1"/>
  <c r="F455"/>
  <c r="I455" s="1"/>
  <c r="J455" s="1"/>
  <c r="M455" s="1"/>
  <c r="N455" s="1"/>
  <c r="F454"/>
  <c r="I454" s="1"/>
  <c r="J454" s="1"/>
  <c r="M454" s="1"/>
  <c r="N454" s="1"/>
  <c r="F453"/>
  <c r="I453" s="1"/>
  <c r="J453" s="1"/>
  <c r="M453" s="1"/>
  <c r="N453" s="1"/>
  <c r="F452"/>
  <c r="I452" s="1"/>
  <c r="J452" s="1"/>
  <c r="F451"/>
  <c r="I451" s="1"/>
  <c r="J451" s="1"/>
  <c r="M451" s="1"/>
  <c r="N451" s="1"/>
  <c r="F450"/>
  <c r="I450" s="1"/>
  <c r="B468"/>
  <c r="J122"/>
  <c r="M122" s="1"/>
  <c r="N122" s="1"/>
  <c r="F137"/>
  <c r="I137" s="1"/>
  <c r="J121"/>
  <c r="M121" s="1"/>
  <c r="N121" s="1"/>
  <c r="D219"/>
  <c r="F219" s="1"/>
  <c r="I219" s="1"/>
  <c r="J219" s="1"/>
  <c r="M219" s="1"/>
  <c r="N219" s="1"/>
  <c r="C462" s="1"/>
  <c r="F210"/>
  <c r="I210" s="1"/>
  <c r="J210" s="1"/>
  <c r="M210" s="1"/>
  <c r="N210" s="1"/>
  <c r="C470" s="1"/>
  <c r="F83"/>
  <c r="F208"/>
  <c r="I208" s="1"/>
  <c r="J208" s="1"/>
  <c r="M208" s="1"/>
  <c r="N208" s="1"/>
  <c r="I132"/>
  <c r="J132" s="1"/>
  <c r="M132" s="1"/>
  <c r="N132" s="1"/>
  <c r="F132"/>
  <c r="F40"/>
  <c r="I40" s="1"/>
  <c r="J40" s="1"/>
  <c r="M40" s="1"/>
  <c r="N40" s="1"/>
  <c r="I387"/>
  <c r="I443"/>
  <c r="B371"/>
  <c r="B275"/>
  <c r="F78"/>
  <c r="I78" s="1"/>
  <c r="F94"/>
  <c r="I94" s="1"/>
  <c r="J94" s="1"/>
  <c r="M94" s="1"/>
  <c r="N94" s="1"/>
  <c r="F145"/>
  <c r="I145" s="1"/>
  <c r="J145" s="1"/>
  <c r="M145" s="1"/>
  <c r="N145" s="1"/>
  <c r="F53"/>
  <c r="I53" s="1"/>
  <c r="F52"/>
  <c r="I52" s="1"/>
  <c r="F57"/>
  <c r="I57" s="1"/>
  <c r="J57" s="1"/>
  <c r="M57" s="1"/>
  <c r="N57" s="1"/>
  <c r="F56"/>
  <c r="I56" s="1"/>
  <c r="F50"/>
  <c r="I50" s="1"/>
  <c r="F51"/>
  <c r="I51" s="1"/>
  <c r="R222"/>
  <c r="R231"/>
  <c r="R230"/>
  <c r="I427" s="1"/>
  <c r="R229"/>
  <c r="R228"/>
  <c r="R227"/>
  <c r="I403" s="1"/>
  <c r="B283"/>
  <c r="B379"/>
  <c r="D233"/>
  <c r="F233" s="1"/>
  <c r="I233" s="1"/>
  <c r="J233" s="1"/>
  <c r="M233" s="1"/>
  <c r="N233" s="1"/>
  <c r="C381" s="1"/>
  <c r="D703" i="14" s="1"/>
  <c r="D232" i="15"/>
  <c r="F232" s="1"/>
  <c r="I232" s="1"/>
  <c r="J232" s="1"/>
  <c r="M232" s="1"/>
  <c r="N232" s="1"/>
  <c r="B443"/>
  <c r="B251"/>
  <c r="B435"/>
  <c r="F231"/>
  <c r="I231" s="1"/>
  <c r="J231" s="1"/>
  <c r="M231" s="1"/>
  <c r="N231" s="1"/>
  <c r="C437" s="1"/>
  <c r="B427"/>
  <c r="F230"/>
  <c r="I230" s="1"/>
  <c r="J230" s="1"/>
  <c r="M230" s="1"/>
  <c r="N230" s="1"/>
  <c r="C429" s="1"/>
  <c r="B419"/>
  <c r="F229"/>
  <c r="I229" s="1"/>
  <c r="J229" s="1"/>
  <c r="M229" s="1"/>
  <c r="N229" s="1"/>
  <c r="C421" s="1"/>
  <c r="B411"/>
  <c r="F228"/>
  <c r="I228" s="1"/>
  <c r="J228" s="1"/>
  <c r="M228" s="1"/>
  <c r="N228" s="1"/>
  <c r="C413" s="1"/>
  <c r="B403"/>
  <c r="F227"/>
  <c r="I227" s="1"/>
  <c r="J227" s="1"/>
  <c r="M227" s="1"/>
  <c r="N227" s="1"/>
  <c r="C405" s="1"/>
  <c r="F409" s="1"/>
  <c r="B387"/>
  <c r="B395"/>
  <c r="F226"/>
  <c r="I226" s="1"/>
  <c r="J226" s="1"/>
  <c r="M226" s="1"/>
  <c r="N226" s="1"/>
  <c r="C397" s="1"/>
  <c r="F401" s="1"/>
  <c r="F225"/>
  <c r="I225" s="1"/>
  <c r="J225" s="1"/>
  <c r="M225" s="1"/>
  <c r="N225" s="1"/>
  <c r="D474" l="1"/>
  <c r="G472"/>
  <c r="D470"/>
  <c r="F474"/>
  <c r="C472"/>
  <c r="M452"/>
  <c r="N452" s="1"/>
  <c r="J450"/>
  <c r="M450" s="1"/>
  <c r="N450" s="1"/>
  <c r="G474"/>
  <c r="F470"/>
  <c r="E472"/>
  <c r="E470"/>
  <c r="G470"/>
  <c r="D472"/>
  <c r="F472"/>
  <c r="C474"/>
  <c r="E474"/>
  <c r="J137"/>
  <c r="M137" s="1"/>
  <c r="N137" s="1"/>
  <c r="D466"/>
  <c r="G464"/>
  <c r="D462"/>
  <c r="F466"/>
  <c r="C464"/>
  <c r="G466"/>
  <c r="F462"/>
  <c r="E464"/>
  <c r="E462"/>
  <c r="G462"/>
  <c r="D464"/>
  <c r="F464"/>
  <c r="C466"/>
  <c r="E466"/>
  <c r="D692" i="14"/>
  <c r="D693"/>
  <c r="J50" i="15"/>
  <c r="M50" s="1"/>
  <c r="N50" s="1"/>
  <c r="J78"/>
  <c r="M78" s="1"/>
  <c r="N78" s="1"/>
  <c r="J53"/>
  <c r="M53" s="1"/>
  <c r="N53" s="1"/>
  <c r="J52"/>
  <c r="M52" s="1"/>
  <c r="N52" s="1"/>
  <c r="J56"/>
  <c r="M56" s="1"/>
  <c r="N56" s="1"/>
  <c r="J51"/>
  <c r="M51" s="1"/>
  <c r="N51" s="1"/>
  <c r="F385"/>
  <c r="D433"/>
  <c r="G431"/>
  <c r="D429"/>
  <c r="F433"/>
  <c r="C431"/>
  <c r="F441"/>
  <c r="E439"/>
  <c r="G441"/>
  <c r="D441"/>
  <c r="F437"/>
  <c r="D417"/>
  <c r="F417"/>
  <c r="C415"/>
  <c r="G415"/>
  <c r="D413"/>
  <c r="D437"/>
  <c r="C439"/>
  <c r="G439"/>
  <c r="G433"/>
  <c r="F429"/>
  <c r="E431"/>
  <c r="E437"/>
  <c r="G437"/>
  <c r="D439"/>
  <c r="F439"/>
  <c r="C441"/>
  <c r="E441"/>
  <c r="E429"/>
  <c r="G429"/>
  <c r="D431"/>
  <c r="F431"/>
  <c r="C433"/>
  <c r="E433"/>
  <c r="D425"/>
  <c r="G423"/>
  <c r="D421"/>
  <c r="F425"/>
  <c r="C423"/>
  <c r="G425"/>
  <c r="F421"/>
  <c r="E423"/>
  <c r="E421"/>
  <c r="G421"/>
  <c r="D423"/>
  <c r="F423"/>
  <c r="C425"/>
  <c r="E425"/>
  <c r="G417"/>
  <c r="F413"/>
  <c r="E415"/>
  <c r="E413"/>
  <c r="G413"/>
  <c r="D415"/>
  <c r="F415"/>
  <c r="C417"/>
  <c r="E417"/>
  <c r="E405"/>
  <c r="G405"/>
  <c r="D407"/>
  <c r="F407"/>
  <c r="C409"/>
  <c r="E409"/>
  <c r="G409"/>
  <c r="D405"/>
  <c r="F405"/>
  <c r="C407"/>
  <c r="E407"/>
  <c r="G407"/>
  <c r="D409"/>
  <c r="E397"/>
  <c r="D695" i="14" s="1"/>
  <c r="G397" i="15"/>
  <c r="D697" i="14" s="1"/>
  <c r="D399" i="15"/>
  <c r="F399"/>
  <c r="C401"/>
  <c r="E401"/>
  <c r="G401"/>
  <c r="D397"/>
  <c r="D694" i="14" s="1"/>
  <c r="F397" i="15"/>
  <c r="D696" i="14" s="1"/>
  <c r="C399" i="15"/>
  <c r="E399"/>
  <c r="G399"/>
  <c r="D401"/>
  <c r="E381"/>
  <c r="D705" i="14" s="1"/>
  <c r="G381" i="15"/>
  <c r="D707" i="14" s="1"/>
  <c r="D383" i="15"/>
  <c r="F383"/>
  <c r="C385"/>
  <c r="E385"/>
  <c r="G385"/>
  <c r="D381"/>
  <c r="D704" i="14" s="1"/>
  <c r="F381" i="15"/>
  <c r="D706" i="14" s="1"/>
  <c r="C383" i="15"/>
  <c r="E383"/>
  <c r="G383"/>
  <c r="D385"/>
  <c r="F222"/>
  <c r="I222" s="1"/>
  <c r="J222" s="1"/>
  <c r="M222" s="1"/>
  <c r="N222" s="1"/>
  <c r="C389" s="1"/>
  <c r="F39"/>
  <c r="I39" s="1"/>
  <c r="J39" s="1"/>
  <c r="M39" s="1"/>
  <c r="N39" s="1"/>
  <c r="F124"/>
  <c r="I124" s="1"/>
  <c r="J124" s="1"/>
  <c r="M124" s="1"/>
  <c r="N124" s="1"/>
  <c r="C445" s="1"/>
  <c r="E445" s="1"/>
  <c r="F214"/>
  <c r="I214" s="1"/>
  <c r="J214" s="1"/>
  <c r="M214" s="1"/>
  <c r="N214" s="1"/>
  <c r="F37"/>
  <c r="I37" s="1"/>
  <c r="J37" s="1"/>
  <c r="M37" s="1"/>
  <c r="N37" s="1"/>
  <c r="F141"/>
  <c r="I141" s="1"/>
  <c r="J141" s="1"/>
  <c r="M141" s="1"/>
  <c r="N141" s="1"/>
  <c r="F129"/>
  <c r="I129" s="1"/>
  <c r="J129" s="1"/>
  <c r="M129" s="1"/>
  <c r="N129" s="1"/>
  <c r="F115"/>
  <c r="I115" s="1"/>
  <c r="J115" s="1"/>
  <c r="M115" s="1"/>
  <c r="N115" s="1"/>
  <c r="F150"/>
  <c r="I150" s="1"/>
  <c r="J150" s="1"/>
  <c r="M150" s="1"/>
  <c r="N150" s="1"/>
  <c r="J123"/>
  <c r="M123" s="1"/>
  <c r="N123" s="1"/>
  <c r="J109"/>
  <c r="M109" s="1"/>
  <c r="N109" s="1"/>
  <c r="I107"/>
  <c r="J107" s="1"/>
  <c r="M107" s="1"/>
  <c r="N107" s="1"/>
  <c r="E107"/>
  <c r="I106"/>
  <c r="J106" s="1"/>
  <c r="M106" s="1"/>
  <c r="N106" s="1"/>
  <c r="E106"/>
  <c r="F112"/>
  <c r="I112" s="1"/>
  <c r="J112" s="1"/>
  <c r="M112" s="1"/>
  <c r="N112" s="1"/>
  <c r="I108"/>
  <c r="J108" s="1"/>
  <c r="M108" s="1"/>
  <c r="N108" s="1"/>
  <c r="I86"/>
  <c r="E108"/>
  <c r="J86"/>
  <c r="M86" s="1"/>
  <c r="N86" s="1"/>
  <c r="B64" i="18"/>
  <c r="F71"/>
  <c r="L71"/>
  <c r="G64"/>
  <c r="G65"/>
  <c r="G67"/>
  <c r="D59"/>
  <c r="D16" i="19"/>
  <c r="G15"/>
  <c r="D15"/>
  <c r="C15"/>
  <c r="G14"/>
  <c r="D14"/>
  <c r="C14"/>
  <c r="G13"/>
  <c r="D13"/>
  <c r="C13"/>
  <c r="G12"/>
  <c r="D12"/>
  <c r="C12"/>
  <c r="G11"/>
  <c r="D11"/>
  <c r="C11"/>
  <c r="G10"/>
  <c r="D10"/>
  <c r="C10"/>
  <c r="G9"/>
  <c r="D9"/>
  <c r="C9"/>
  <c r="G8"/>
  <c r="F8"/>
  <c r="D8"/>
  <c r="C8"/>
  <c r="G7"/>
  <c r="D7"/>
  <c r="C7"/>
  <c r="G6"/>
  <c r="F6"/>
  <c r="D6"/>
  <c r="C6"/>
  <c r="G5"/>
  <c r="F5"/>
  <c r="D5"/>
  <c r="C5"/>
  <c r="M4"/>
  <c r="M16" s="1"/>
  <c r="G4"/>
  <c r="G16" s="1"/>
  <c r="F4"/>
  <c r="D4"/>
  <c r="C4"/>
  <c r="L59" i="18"/>
  <c r="G47"/>
  <c r="G69"/>
  <c r="G68"/>
  <c r="G53"/>
  <c r="G55"/>
  <c r="G54"/>
  <c r="D710" i="14" l="1"/>
  <c r="D709"/>
  <c r="D702"/>
  <c r="D698"/>
  <c r="D701"/>
  <c r="S51" i="15"/>
  <c r="D714" i="14"/>
  <c r="D712"/>
  <c r="D708"/>
  <c r="D711"/>
  <c r="D700"/>
  <c r="D699"/>
  <c r="D713"/>
  <c r="S50" i="15"/>
  <c r="C373"/>
  <c r="T230"/>
  <c r="J427" s="1"/>
  <c r="T231"/>
  <c r="D447"/>
  <c r="F445"/>
  <c r="C449"/>
  <c r="D449"/>
  <c r="F449"/>
  <c r="C447"/>
  <c r="G447"/>
  <c r="D445"/>
  <c r="E449"/>
  <c r="F447"/>
  <c r="G445"/>
  <c r="E447"/>
  <c r="G449"/>
  <c r="F393"/>
  <c r="E389"/>
  <c r="D391"/>
  <c r="C393"/>
  <c r="D389"/>
  <c r="C391"/>
  <c r="G391"/>
  <c r="G393"/>
  <c r="G389"/>
  <c r="F391"/>
  <c r="E393"/>
  <c r="F389"/>
  <c r="E391"/>
  <c r="D393"/>
  <c r="G71" i="18"/>
  <c r="L6" i="19"/>
  <c r="L4"/>
  <c r="N4" s="1"/>
  <c r="G48" i="18"/>
  <c r="G46"/>
  <c r="G45"/>
  <c r="G44"/>
  <c r="D55"/>
  <c r="D23"/>
  <c r="J20"/>
  <c r="J18"/>
  <c r="G35"/>
  <c r="G36"/>
  <c r="G37"/>
  <c r="J28"/>
  <c r="G34"/>
  <c r="G33"/>
  <c r="G32"/>
  <c r="G31"/>
  <c r="G30"/>
  <c r="G29"/>
  <c r="G27"/>
  <c r="N16" i="19" l="1"/>
  <c r="G59" i="18"/>
  <c r="G25"/>
  <c r="G24"/>
  <c r="G23"/>
  <c r="G22"/>
  <c r="G21"/>
  <c r="G19"/>
  <c r="G17"/>
  <c r="G16"/>
  <c r="G15"/>
  <c r="G11"/>
  <c r="G10"/>
  <c r="J38"/>
  <c r="F75" i="15"/>
  <c r="I75" s="1"/>
  <c r="J75" s="1"/>
  <c r="M75" s="1"/>
  <c r="N75" s="1"/>
  <c r="D82"/>
  <c r="F82" s="1"/>
  <c r="I82" s="1"/>
  <c r="J82" s="1"/>
  <c r="M82" s="1"/>
  <c r="N82" s="1"/>
  <c r="P159"/>
  <c r="I83"/>
  <c r="F125"/>
  <c r="I125" s="1"/>
  <c r="J125" s="1"/>
  <c r="M125" s="1"/>
  <c r="N125" s="1"/>
  <c r="J443" s="1"/>
  <c r="F77"/>
  <c r="I77" s="1"/>
  <c r="J77" s="1"/>
  <c r="M77" s="1"/>
  <c r="N77" s="1"/>
  <c r="D211"/>
  <c r="F211" s="1"/>
  <c r="I211" s="1"/>
  <c r="J211" s="1"/>
  <c r="M211" s="1"/>
  <c r="N211" s="1"/>
  <c r="F38"/>
  <c r="I38" s="1"/>
  <c r="J38" s="1"/>
  <c r="M38" s="1"/>
  <c r="N38" s="1"/>
  <c r="J28"/>
  <c r="M28" s="1"/>
  <c r="D60"/>
  <c r="F60" s="1"/>
  <c r="I60" s="1"/>
  <c r="J60" s="1"/>
  <c r="M60" s="1"/>
  <c r="N60" s="1"/>
  <c r="D61"/>
  <c r="F61" s="1"/>
  <c r="I61" s="1"/>
  <c r="J61" s="1"/>
  <c r="M61" s="1"/>
  <c r="N61" s="1"/>
  <c r="C357" s="1"/>
  <c r="D59"/>
  <c r="F59" s="1"/>
  <c r="F15"/>
  <c r="I15" s="1"/>
  <c r="J15" s="1"/>
  <c r="M15" s="1"/>
  <c r="N15" s="1"/>
  <c r="F337"/>
  <c r="D337"/>
  <c r="G335"/>
  <c r="E335"/>
  <c r="C335"/>
  <c r="F333"/>
  <c r="D333"/>
  <c r="G337"/>
  <c r="F23"/>
  <c r="I23" s="1"/>
  <c r="J23" s="1"/>
  <c r="M23" s="1"/>
  <c r="N23" s="1"/>
  <c r="F16"/>
  <c r="I16" s="1"/>
  <c r="J16" s="1"/>
  <c r="M16" s="1"/>
  <c r="N16" s="1"/>
  <c r="D217"/>
  <c r="F217" s="1"/>
  <c r="I217" s="1"/>
  <c r="J217" s="1"/>
  <c r="M217" s="1"/>
  <c r="N217" s="1"/>
  <c r="F25"/>
  <c r="I25" s="1"/>
  <c r="J25" s="1"/>
  <c r="M25" s="1"/>
  <c r="N25" s="1"/>
  <c r="C349" s="1"/>
  <c r="G353" s="1"/>
  <c r="F95"/>
  <c r="I95" s="1"/>
  <c r="J95" s="1"/>
  <c r="M95" s="1"/>
  <c r="N95" s="1"/>
  <c r="C341" s="1"/>
  <c r="F345" s="1"/>
  <c r="F45"/>
  <c r="I45" s="1"/>
  <c r="J45" s="1"/>
  <c r="M45" s="1"/>
  <c r="N45" s="1"/>
  <c r="J83" l="1"/>
  <c r="M83" s="1"/>
  <c r="N83" s="1"/>
  <c r="G345"/>
  <c r="E343"/>
  <c r="F341"/>
  <c r="D345"/>
  <c r="C365"/>
  <c r="D349"/>
  <c r="F349"/>
  <c r="C351"/>
  <c r="E351"/>
  <c r="G351"/>
  <c r="D353"/>
  <c r="F353"/>
  <c r="D341"/>
  <c r="C343"/>
  <c r="G343"/>
  <c r="E349"/>
  <c r="G349"/>
  <c r="D351"/>
  <c r="F351"/>
  <c r="C353"/>
  <c r="E353"/>
  <c r="G38" i="18"/>
  <c r="L38" s="1"/>
  <c r="E333" i="15"/>
  <c r="G333"/>
  <c r="D335"/>
  <c r="F335"/>
  <c r="C337"/>
  <c r="E337"/>
  <c r="E341"/>
  <c r="G341"/>
  <c r="D343"/>
  <c r="F343"/>
  <c r="C345"/>
  <c r="E345"/>
  <c r="J130"/>
  <c r="M130" s="1"/>
  <c r="N130" s="1"/>
  <c r="F221"/>
  <c r="I221" s="1"/>
  <c r="J221" s="1"/>
  <c r="M221" s="1"/>
  <c r="N221" s="1"/>
  <c r="J387" s="1"/>
  <c r="F223"/>
  <c r="I223" s="1"/>
  <c r="J223" s="1"/>
  <c r="M223" s="1"/>
  <c r="N223" s="1"/>
  <c r="F131"/>
  <c r="I131" s="1"/>
  <c r="J131" s="1"/>
  <c r="M131" s="1"/>
  <c r="N131" s="1"/>
  <c r="L120"/>
  <c r="F120"/>
  <c r="I120" s="1"/>
  <c r="J120" s="1"/>
  <c r="C169"/>
  <c r="D169"/>
  <c r="F169" s="1"/>
  <c r="I169" s="1"/>
  <c r="F101"/>
  <c r="I101" s="1"/>
  <c r="J101" s="1"/>
  <c r="M101" s="1"/>
  <c r="N101" s="1"/>
  <c r="F43"/>
  <c r="I43" s="1"/>
  <c r="J43" s="1"/>
  <c r="M43" s="1"/>
  <c r="N43" s="1"/>
  <c r="F33"/>
  <c r="I33" s="1"/>
  <c r="J33" s="1"/>
  <c r="M33" s="1"/>
  <c r="N33" s="1"/>
  <c r="F163"/>
  <c r="I163" s="1"/>
  <c r="J163" s="1"/>
  <c r="M163" s="1"/>
  <c r="N163" s="1"/>
  <c r="F30"/>
  <c r="I30" s="1"/>
  <c r="J30" s="1"/>
  <c r="M30" s="1"/>
  <c r="N30" s="1"/>
  <c r="F29"/>
  <c r="I29" s="1"/>
  <c r="J29" s="1"/>
  <c r="M29" s="1"/>
  <c r="N29" s="1"/>
  <c r="G329"/>
  <c r="F329"/>
  <c r="E329"/>
  <c r="D329"/>
  <c r="C329"/>
  <c r="G327"/>
  <c r="F327"/>
  <c r="E327"/>
  <c r="D327"/>
  <c r="C327"/>
  <c r="G325"/>
  <c r="F325"/>
  <c r="E325"/>
  <c r="D325"/>
  <c r="F111"/>
  <c r="I111" s="1"/>
  <c r="J111" s="1"/>
  <c r="M111" s="1"/>
  <c r="N111" s="1"/>
  <c r="F184"/>
  <c r="I184" s="1"/>
  <c r="J184" s="1"/>
  <c r="M184" s="1"/>
  <c r="N184" s="1"/>
  <c r="F157"/>
  <c r="I157" s="1"/>
  <c r="J157" s="1"/>
  <c r="M157" s="1"/>
  <c r="N157" s="1"/>
  <c r="J128"/>
  <c r="M128" s="1"/>
  <c r="N128" s="1"/>
  <c r="J72"/>
  <c r="M72" s="1"/>
  <c r="N72" s="1"/>
  <c r="J71"/>
  <c r="M71" s="1"/>
  <c r="N71" s="1"/>
  <c r="F224"/>
  <c r="I224" s="1"/>
  <c r="J224" s="1"/>
  <c r="M224" s="1"/>
  <c r="N224" s="1"/>
  <c r="D691" i="14" s="1"/>
  <c r="F215" i="15"/>
  <c r="I215" s="1"/>
  <c r="J215" s="1"/>
  <c r="M215" s="1"/>
  <c r="N215" s="1"/>
  <c r="D220"/>
  <c r="F220" s="1"/>
  <c r="I220" s="1"/>
  <c r="J220" s="1"/>
  <c r="M220" s="1"/>
  <c r="N220" s="1"/>
  <c r="D218"/>
  <c r="F218" s="1"/>
  <c r="I218" s="1"/>
  <c r="J218" s="1"/>
  <c r="M218" s="1"/>
  <c r="N218" s="1"/>
  <c r="D216"/>
  <c r="F216" s="1"/>
  <c r="I216" s="1"/>
  <c r="J216" s="1"/>
  <c r="M216" s="1"/>
  <c r="N216" s="1"/>
  <c r="F213"/>
  <c r="I213" s="1"/>
  <c r="J213" s="1"/>
  <c r="M213" s="1"/>
  <c r="N213" s="1"/>
  <c r="C309" s="1"/>
  <c r="F212"/>
  <c r="I212" s="1"/>
  <c r="J212" s="1"/>
  <c r="M212" s="1"/>
  <c r="N212" s="1"/>
  <c r="D209"/>
  <c r="F209" s="1"/>
  <c r="I209" s="1"/>
  <c r="J209" s="1"/>
  <c r="M209" s="1"/>
  <c r="N209" s="1"/>
  <c r="C293" s="1"/>
  <c r="F206"/>
  <c r="I206" s="1"/>
  <c r="J206" s="1"/>
  <c r="M206" s="1"/>
  <c r="N206" s="1"/>
  <c r="F205"/>
  <c r="I205" s="1"/>
  <c r="J205" s="1"/>
  <c r="M205" s="1"/>
  <c r="N205" s="1"/>
  <c r="F207"/>
  <c r="I207" s="1"/>
  <c r="J207" s="1"/>
  <c r="M207" s="1"/>
  <c r="N207" s="1"/>
  <c r="J204"/>
  <c r="M204" s="1"/>
  <c r="N204" s="1"/>
  <c r="F204"/>
  <c r="J203"/>
  <c r="M203" s="1"/>
  <c r="N203" s="1"/>
  <c r="F203"/>
  <c r="F202"/>
  <c r="I202" s="1"/>
  <c r="J202" s="1"/>
  <c r="M202" s="1"/>
  <c r="N202" s="1"/>
  <c r="F201"/>
  <c r="I201" s="1"/>
  <c r="J201" s="1"/>
  <c r="M201" s="1"/>
  <c r="N201" s="1"/>
  <c r="F200"/>
  <c r="I200" s="1"/>
  <c r="J200" s="1"/>
  <c r="M200" s="1"/>
  <c r="N200" s="1"/>
  <c r="J199"/>
  <c r="M199" s="1"/>
  <c r="N199" s="1"/>
  <c r="F198"/>
  <c r="I198" s="1"/>
  <c r="J198" s="1"/>
  <c r="M198" s="1"/>
  <c r="N198" s="1"/>
  <c r="C317" s="1"/>
  <c r="F197"/>
  <c r="I197" s="1"/>
  <c r="J197" s="1"/>
  <c r="M197" s="1"/>
  <c r="N197" s="1"/>
  <c r="F195"/>
  <c r="I195" s="1"/>
  <c r="J195" s="1"/>
  <c r="M195" s="1"/>
  <c r="N195" s="1"/>
  <c r="C301" s="1"/>
  <c r="F196"/>
  <c r="I196" s="1"/>
  <c r="J196" s="1"/>
  <c r="M196" s="1"/>
  <c r="N196" s="1"/>
  <c r="F194"/>
  <c r="I194" s="1"/>
  <c r="J194" s="1"/>
  <c r="M194" s="1"/>
  <c r="N194" s="1"/>
  <c r="F193"/>
  <c r="I193" s="1"/>
  <c r="J193" s="1"/>
  <c r="M193" s="1"/>
  <c r="N193" s="1"/>
  <c r="F192"/>
  <c r="I192" s="1"/>
  <c r="J192" s="1"/>
  <c r="M192" s="1"/>
  <c r="N192" s="1"/>
  <c r="F191"/>
  <c r="I191" s="1"/>
  <c r="J191" s="1"/>
  <c r="M191" s="1"/>
  <c r="N191" s="1"/>
  <c r="F190"/>
  <c r="I190" s="1"/>
  <c r="J190" s="1"/>
  <c r="M190" s="1"/>
  <c r="N190" s="1"/>
  <c r="F188"/>
  <c r="I188" s="1"/>
  <c r="J188" s="1"/>
  <c r="M188" s="1"/>
  <c r="N188" s="1"/>
  <c r="D189"/>
  <c r="F189" s="1"/>
  <c r="I189" s="1"/>
  <c r="J189" s="1"/>
  <c r="M189" s="1"/>
  <c r="N189" s="1"/>
  <c r="D187"/>
  <c r="F187" s="1"/>
  <c r="I187" s="1"/>
  <c r="J187" s="1"/>
  <c r="M187" s="1"/>
  <c r="N187" s="1"/>
  <c r="F186"/>
  <c r="I186" s="1"/>
  <c r="J186" s="1"/>
  <c r="M186" s="1"/>
  <c r="N186" s="1"/>
  <c r="F185"/>
  <c r="I185" s="1"/>
  <c r="J185" s="1"/>
  <c r="M185" s="1"/>
  <c r="N185" s="1"/>
  <c r="F183"/>
  <c r="I183" s="1"/>
  <c r="J183" s="1"/>
  <c r="M183" s="1"/>
  <c r="N183" s="1"/>
  <c r="F182"/>
  <c r="I182" s="1"/>
  <c r="J182" s="1"/>
  <c r="M182" s="1"/>
  <c r="N182" s="1"/>
  <c r="F181"/>
  <c r="I181" s="1"/>
  <c r="J181" s="1"/>
  <c r="M181" s="1"/>
  <c r="N181" s="1"/>
  <c r="F180"/>
  <c r="I180" s="1"/>
  <c r="J180" s="1"/>
  <c r="M180" s="1"/>
  <c r="N180" s="1"/>
  <c r="C261" s="1"/>
  <c r="F179"/>
  <c r="I179" s="1"/>
  <c r="J179" s="1"/>
  <c r="M179" s="1"/>
  <c r="N179" s="1"/>
  <c r="F178"/>
  <c r="I178" s="1"/>
  <c r="J178" s="1"/>
  <c r="M178" s="1"/>
  <c r="N178" s="1"/>
  <c r="F177"/>
  <c r="I177" s="1"/>
  <c r="J177" s="1"/>
  <c r="M177" s="1"/>
  <c r="N177" s="1"/>
  <c r="F176"/>
  <c r="I176" s="1"/>
  <c r="J176" s="1"/>
  <c r="M176" s="1"/>
  <c r="N176" s="1"/>
  <c r="N175"/>
  <c r="D175"/>
  <c r="F175" s="1"/>
  <c r="F174"/>
  <c r="I174" s="1"/>
  <c r="J174" s="1"/>
  <c r="M174" s="1"/>
  <c r="N174" s="1"/>
  <c r="F173"/>
  <c r="I173" s="1"/>
  <c r="J173" s="1"/>
  <c r="M173" s="1"/>
  <c r="N173" s="1"/>
  <c r="F172"/>
  <c r="I172" s="1"/>
  <c r="J172" s="1"/>
  <c r="M172" s="1"/>
  <c r="N172" s="1"/>
  <c r="F171"/>
  <c r="I171" s="1"/>
  <c r="J171" s="1"/>
  <c r="M171" s="1"/>
  <c r="N171" s="1"/>
  <c r="F170"/>
  <c r="I170" s="1"/>
  <c r="J170" s="1"/>
  <c r="M170" s="1"/>
  <c r="N170" s="1"/>
  <c r="F167"/>
  <c r="I167" s="1"/>
  <c r="J167" s="1"/>
  <c r="M167" s="1"/>
  <c r="N167" s="1"/>
  <c r="F168"/>
  <c r="I168" s="1"/>
  <c r="J168" s="1"/>
  <c r="M168" s="1"/>
  <c r="N168" s="1"/>
  <c r="F166"/>
  <c r="I166" s="1"/>
  <c r="J166" s="1"/>
  <c r="M166" s="1"/>
  <c r="N166" s="1"/>
  <c r="F165"/>
  <c r="I165" s="1"/>
  <c r="J165" s="1"/>
  <c r="M165" s="1"/>
  <c r="N165" s="1"/>
  <c r="F164"/>
  <c r="I164" s="1"/>
  <c r="J164" s="1"/>
  <c r="M164" s="1"/>
  <c r="N164" s="1"/>
  <c r="F162"/>
  <c r="I162" s="1"/>
  <c r="J162" s="1"/>
  <c r="M162" s="1"/>
  <c r="N162" s="1"/>
  <c r="F161"/>
  <c r="I161" s="1"/>
  <c r="J161" s="1"/>
  <c r="M161" s="1"/>
  <c r="N161" s="1"/>
  <c r="F160"/>
  <c r="I160" s="1"/>
  <c r="J160" s="1"/>
  <c r="M160" s="1"/>
  <c r="N160" s="1"/>
  <c r="J159"/>
  <c r="M159" s="1"/>
  <c r="N159" s="1"/>
  <c r="R159" s="1"/>
  <c r="J158"/>
  <c r="M158" s="1"/>
  <c r="N158" s="1"/>
  <c r="J156"/>
  <c r="M156" s="1"/>
  <c r="N156" s="1"/>
  <c r="J155"/>
  <c r="M155" s="1"/>
  <c r="N155" s="1"/>
  <c r="J154"/>
  <c r="M154" s="1"/>
  <c r="N154" s="1"/>
  <c r="J153"/>
  <c r="M153" s="1"/>
  <c r="N153" s="1"/>
  <c r="J152"/>
  <c r="M152" s="1"/>
  <c r="N152" s="1"/>
  <c r="F151"/>
  <c r="I151" s="1"/>
  <c r="J151" s="1"/>
  <c r="M151" s="1"/>
  <c r="N151" s="1"/>
  <c r="F148"/>
  <c r="I148" s="1"/>
  <c r="J148" s="1"/>
  <c r="M148" s="1"/>
  <c r="N148" s="1"/>
  <c r="F147"/>
  <c r="I147" s="1"/>
  <c r="J147" s="1"/>
  <c r="M147" s="1"/>
  <c r="N147" s="1"/>
  <c r="F146"/>
  <c r="I146" s="1"/>
  <c r="J146" s="1"/>
  <c r="M146" s="1"/>
  <c r="N146" s="1"/>
  <c r="F144"/>
  <c r="I144" s="1"/>
  <c r="J144" s="1"/>
  <c r="M144" s="1"/>
  <c r="N144" s="1"/>
  <c r="F149"/>
  <c r="F143"/>
  <c r="I143" s="1"/>
  <c r="J143" s="1"/>
  <c r="M143" s="1"/>
  <c r="N143" s="1"/>
  <c r="D689" i="14" s="1"/>
  <c r="F142" i="15"/>
  <c r="I142" s="1"/>
  <c r="J142" s="1"/>
  <c r="M142" s="1"/>
  <c r="N142" s="1"/>
  <c r="F140"/>
  <c r="I140" s="1"/>
  <c r="J140" s="1"/>
  <c r="M140" s="1"/>
  <c r="N140" s="1"/>
  <c r="D139"/>
  <c r="F139" s="1"/>
  <c r="I139" s="1"/>
  <c r="J139" s="1"/>
  <c r="M139" s="1"/>
  <c r="N139" s="1"/>
  <c r="F138"/>
  <c r="I138" s="1"/>
  <c r="J138" s="1"/>
  <c r="M138" s="1"/>
  <c r="N138" s="1"/>
  <c r="F136"/>
  <c r="I136" s="1"/>
  <c r="J136" s="1"/>
  <c r="M136" s="1"/>
  <c r="N136" s="1"/>
  <c r="F135"/>
  <c r="I135" s="1"/>
  <c r="J135" s="1"/>
  <c r="M135" s="1"/>
  <c r="N135" s="1"/>
  <c r="F134"/>
  <c r="I134" s="1"/>
  <c r="J134" s="1"/>
  <c r="M134" s="1"/>
  <c r="N134" s="1"/>
  <c r="J133"/>
  <c r="M133" s="1"/>
  <c r="N133" s="1"/>
  <c r="E133"/>
  <c r="D127"/>
  <c r="E127" s="1"/>
  <c r="I126"/>
  <c r="J126" s="1"/>
  <c r="M126" s="1"/>
  <c r="N126" s="1"/>
  <c r="E126"/>
  <c r="F119"/>
  <c r="I119" s="1"/>
  <c r="J119" s="1"/>
  <c r="M119" s="1"/>
  <c r="N119" s="1"/>
  <c r="F118"/>
  <c r="I118" s="1"/>
  <c r="J118" s="1"/>
  <c r="M118" s="1"/>
  <c r="N118" s="1"/>
  <c r="F117"/>
  <c r="I117" s="1"/>
  <c r="J117" s="1"/>
  <c r="M117" s="1"/>
  <c r="N117" s="1"/>
  <c r="F116"/>
  <c r="I116" s="1"/>
  <c r="J116" s="1"/>
  <c r="M116" s="1"/>
  <c r="N116" s="1"/>
  <c r="F114"/>
  <c r="I114" s="1"/>
  <c r="J114" s="1"/>
  <c r="M114" s="1"/>
  <c r="N114" s="1"/>
  <c r="F113"/>
  <c r="I113" s="1"/>
  <c r="J113" s="1"/>
  <c r="M113" s="1"/>
  <c r="N113" s="1"/>
  <c r="J110"/>
  <c r="M110" s="1"/>
  <c r="N110" s="1"/>
  <c r="I105"/>
  <c r="J105" s="1"/>
  <c r="M105" s="1"/>
  <c r="N105" s="1"/>
  <c r="E105"/>
  <c r="F104"/>
  <c r="I104" s="1"/>
  <c r="J104" s="1"/>
  <c r="M104" s="1"/>
  <c r="N104" s="1"/>
  <c r="F103"/>
  <c r="I103" s="1"/>
  <c r="J103" s="1"/>
  <c r="M103" s="1"/>
  <c r="N103" s="1"/>
  <c r="F102"/>
  <c r="I102" s="1"/>
  <c r="J102" s="1"/>
  <c r="M102" s="1"/>
  <c r="N102" s="1"/>
  <c r="F100"/>
  <c r="I100" s="1"/>
  <c r="J100" s="1"/>
  <c r="M100" s="1"/>
  <c r="N100" s="1"/>
  <c r="F99"/>
  <c r="I99" s="1"/>
  <c r="J99" s="1"/>
  <c r="M99" s="1"/>
  <c r="N99" s="1"/>
  <c r="F98"/>
  <c r="I98" s="1"/>
  <c r="J98" s="1"/>
  <c r="M98" s="1"/>
  <c r="N98" s="1"/>
  <c r="F97"/>
  <c r="I97" s="1"/>
  <c r="J97" s="1"/>
  <c r="M97" s="1"/>
  <c r="N97" s="1"/>
  <c r="F96"/>
  <c r="I96" s="1"/>
  <c r="J96" s="1"/>
  <c r="M96" s="1"/>
  <c r="N96" s="1"/>
  <c r="F93"/>
  <c r="I93" s="1"/>
  <c r="J93" s="1"/>
  <c r="M93" s="1"/>
  <c r="N93" s="1"/>
  <c r="I92"/>
  <c r="J92" s="1"/>
  <c r="M92" s="1"/>
  <c r="N92" s="1"/>
  <c r="D688" i="14" s="1"/>
  <c r="J91" i="15"/>
  <c r="M91" s="1"/>
  <c r="N91" s="1"/>
  <c r="I90"/>
  <c r="J90" s="1"/>
  <c r="M90" s="1"/>
  <c r="N90" s="1"/>
  <c r="E90"/>
  <c r="I89"/>
  <c r="J89" s="1"/>
  <c r="M89" s="1"/>
  <c r="N89" s="1"/>
  <c r="E89"/>
  <c r="J88"/>
  <c r="M88" s="1"/>
  <c r="N88" s="1"/>
  <c r="J87"/>
  <c r="M87" s="1"/>
  <c r="N87" s="1"/>
  <c r="J85"/>
  <c r="M85" s="1"/>
  <c r="N85" s="1"/>
  <c r="F84"/>
  <c r="I84" s="1"/>
  <c r="J84" s="1"/>
  <c r="M84" s="1"/>
  <c r="N84" s="1"/>
  <c r="J81"/>
  <c r="M81" s="1"/>
  <c r="N81" s="1"/>
  <c r="F81"/>
  <c r="F80"/>
  <c r="I80" s="1"/>
  <c r="J80" s="1"/>
  <c r="M80" s="1"/>
  <c r="N80" s="1"/>
  <c r="F76"/>
  <c r="I76" s="1"/>
  <c r="J76" s="1"/>
  <c r="M76" s="1"/>
  <c r="N76" s="1"/>
  <c r="F74"/>
  <c r="I74" s="1"/>
  <c r="J74" s="1"/>
  <c r="M74" s="1"/>
  <c r="N74" s="1"/>
  <c r="F73"/>
  <c r="I73" s="1"/>
  <c r="J73" s="1"/>
  <c r="M73" s="1"/>
  <c r="N73" s="1"/>
  <c r="I70"/>
  <c r="J70" s="1"/>
  <c r="M70" s="1"/>
  <c r="N70" s="1"/>
  <c r="E70"/>
  <c r="F69"/>
  <c r="I69" s="1"/>
  <c r="J69" s="1"/>
  <c r="M69" s="1"/>
  <c r="N69" s="1"/>
  <c r="F68"/>
  <c r="I68" s="1"/>
  <c r="J68" s="1"/>
  <c r="M68" s="1"/>
  <c r="N68" s="1"/>
  <c r="F67"/>
  <c r="I67" s="1"/>
  <c r="J67" s="1"/>
  <c r="M67" s="1"/>
  <c r="N67" s="1"/>
  <c r="F66"/>
  <c r="I66" s="1"/>
  <c r="J66" s="1"/>
  <c r="M66" s="1"/>
  <c r="N66" s="1"/>
  <c r="F65"/>
  <c r="I65" s="1"/>
  <c r="J65" s="1"/>
  <c r="M65" s="1"/>
  <c r="N65" s="1"/>
  <c r="F64"/>
  <c r="I64" s="1"/>
  <c r="J64" s="1"/>
  <c r="M64" s="1"/>
  <c r="N64" s="1"/>
  <c r="D63"/>
  <c r="F63" s="1"/>
  <c r="I63" s="1"/>
  <c r="J63" s="1"/>
  <c r="M63" s="1"/>
  <c r="N63" s="1"/>
  <c r="I62"/>
  <c r="J62" s="1"/>
  <c r="M62" s="1"/>
  <c r="N62" s="1"/>
  <c r="D62"/>
  <c r="E62" s="1"/>
  <c r="I59"/>
  <c r="J59" s="1"/>
  <c r="M59" s="1"/>
  <c r="N59" s="1"/>
  <c r="F58"/>
  <c r="I58" s="1"/>
  <c r="J58" s="1"/>
  <c r="M58" s="1"/>
  <c r="N58" s="1"/>
  <c r="C55"/>
  <c r="J55" s="1"/>
  <c r="M55" s="1"/>
  <c r="N55" s="1"/>
  <c r="D716" i="14" s="1"/>
  <c r="J54" i="15"/>
  <c r="M54" s="1"/>
  <c r="N54" s="1"/>
  <c r="D715" i="14" s="1"/>
  <c r="J49" i="15"/>
  <c r="M49" s="1"/>
  <c r="N49" s="1"/>
  <c r="D378" i="14" s="1"/>
  <c r="J48" i="15"/>
  <c r="M48" s="1"/>
  <c r="N48" s="1"/>
  <c r="J47"/>
  <c r="M47" s="1"/>
  <c r="N47" s="1"/>
  <c r="F46"/>
  <c r="I46" s="1"/>
  <c r="J46" s="1"/>
  <c r="M46" s="1"/>
  <c r="N46" s="1"/>
  <c r="F44"/>
  <c r="I44" s="1"/>
  <c r="J44" s="1"/>
  <c r="M44" s="1"/>
  <c r="N44" s="1"/>
  <c r="F42"/>
  <c r="I42" s="1"/>
  <c r="J42" s="1"/>
  <c r="M42" s="1"/>
  <c r="N42" s="1"/>
  <c r="F41"/>
  <c r="I41" s="1"/>
  <c r="J41" s="1"/>
  <c r="M41" s="1"/>
  <c r="N41" s="1"/>
  <c r="F36"/>
  <c r="I36" s="1"/>
  <c r="J36" s="1"/>
  <c r="M36" s="1"/>
  <c r="N36" s="1"/>
  <c r="F35"/>
  <c r="I35" s="1"/>
  <c r="J35" s="1"/>
  <c r="M35" s="1"/>
  <c r="N35" s="1"/>
  <c r="J34"/>
  <c r="M34" s="1"/>
  <c r="N34" s="1"/>
  <c r="D32"/>
  <c r="F32" s="1"/>
  <c r="I32" s="1"/>
  <c r="J32" s="1"/>
  <c r="M32" s="1"/>
  <c r="N32" s="1"/>
  <c r="D31"/>
  <c r="F31" s="1"/>
  <c r="I31" s="1"/>
  <c r="J31" s="1"/>
  <c r="M31" s="1"/>
  <c r="N31" s="1"/>
  <c r="F27"/>
  <c r="I27" s="1"/>
  <c r="J27" s="1"/>
  <c r="M27" s="1"/>
  <c r="I26"/>
  <c r="J26" s="1"/>
  <c r="M26" s="1"/>
  <c r="N26" s="1"/>
  <c r="E26"/>
  <c r="F24"/>
  <c r="I24" s="1"/>
  <c r="C24"/>
  <c r="D22"/>
  <c r="F22" s="1"/>
  <c r="I22" s="1"/>
  <c r="J22" s="1"/>
  <c r="M22" s="1"/>
  <c r="N22" s="1"/>
  <c r="C21"/>
  <c r="J21" s="1"/>
  <c r="M21" s="1"/>
  <c r="N21" s="1"/>
  <c r="C20"/>
  <c r="J20" s="1"/>
  <c r="M20" s="1"/>
  <c r="N20" s="1"/>
  <c r="J19"/>
  <c r="M19" s="1"/>
  <c r="N19" s="1"/>
  <c r="F18"/>
  <c r="J18" s="1"/>
  <c r="M18" s="1"/>
  <c r="N18" s="1"/>
  <c r="I14"/>
  <c r="J14" s="1"/>
  <c r="M14" s="1"/>
  <c r="N14" s="1"/>
  <c r="D14"/>
  <c r="F13"/>
  <c r="I13" s="1"/>
  <c r="C13"/>
  <c r="F12"/>
  <c r="I12" s="1"/>
  <c r="C12"/>
  <c r="F11"/>
  <c r="I11" s="1"/>
  <c r="J11" s="1"/>
  <c r="M11" s="1"/>
  <c r="N11" s="1"/>
  <c r="O537" i="14"/>
  <c r="J537"/>
  <c r="K537" s="1"/>
  <c r="L537" s="1"/>
  <c r="O536"/>
  <c r="J536"/>
  <c r="K536" s="1"/>
  <c r="L536" s="1"/>
  <c r="M536" s="1"/>
  <c r="O535"/>
  <c r="J535"/>
  <c r="K535" s="1"/>
  <c r="L535" s="1"/>
  <c r="M535" s="1"/>
  <c r="O534"/>
  <c r="K534"/>
  <c r="L534" s="1"/>
  <c r="M534" s="1"/>
  <c r="J534"/>
  <c r="O533"/>
  <c r="J533"/>
  <c r="K533" s="1"/>
  <c r="L533" s="1"/>
  <c r="M533" s="1"/>
  <c r="O532"/>
  <c r="J532"/>
  <c r="K532" s="1"/>
  <c r="L532" s="1"/>
  <c r="M532" s="1"/>
  <c r="O531"/>
  <c r="J531"/>
  <c r="K531" s="1"/>
  <c r="L531" s="1"/>
  <c r="M531" s="1"/>
  <c r="O530"/>
  <c r="J530"/>
  <c r="K530" s="1"/>
  <c r="L530" s="1"/>
  <c r="M530" s="1"/>
  <c r="O529"/>
  <c r="J529"/>
  <c r="K529" s="1"/>
  <c r="L529" s="1"/>
  <c r="M529" s="1"/>
  <c r="O528"/>
  <c r="J528"/>
  <c r="K528" s="1"/>
  <c r="L528" s="1"/>
  <c r="M528" s="1"/>
  <c r="O527"/>
  <c r="J527"/>
  <c r="K527" s="1"/>
  <c r="L527" s="1"/>
  <c r="M527" s="1"/>
  <c r="O526"/>
  <c r="J526"/>
  <c r="K526" s="1"/>
  <c r="L526" s="1"/>
  <c r="M526" s="1"/>
  <c r="O525"/>
  <c r="J525"/>
  <c r="K525" s="1"/>
  <c r="L525" s="1"/>
  <c r="M525" s="1"/>
  <c r="O524"/>
  <c r="J524"/>
  <c r="K524" s="1"/>
  <c r="L524" s="1"/>
  <c r="M524" s="1"/>
  <c r="O523"/>
  <c r="J523"/>
  <c r="K523" s="1"/>
  <c r="L523" s="1"/>
  <c r="M523" s="1"/>
  <c r="O522"/>
  <c r="J522"/>
  <c r="K522" s="1"/>
  <c r="L522" s="1"/>
  <c r="M522" s="1"/>
  <c r="O521"/>
  <c r="J521"/>
  <c r="K521" s="1"/>
  <c r="L521" s="1"/>
  <c r="M521" s="1"/>
  <c r="O520"/>
  <c r="J520"/>
  <c r="K520" s="1"/>
  <c r="L520" s="1"/>
  <c r="M520" s="1"/>
  <c r="O519"/>
  <c r="J519"/>
  <c r="K519" s="1"/>
  <c r="L519" s="1"/>
  <c r="M519" s="1"/>
  <c r="O518"/>
  <c r="J518"/>
  <c r="K518" s="1"/>
  <c r="L518" s="1"/>
  <c r="M518" s="1"/>
  <c r="O517"/>
  <c r="J517"/>
  <c r="K517" s="1"/>
  <c r="L517" s="1"/>
  <c r="M517" s="1"/>
  <c r="O516"/>
  <c r="J516"/>
  <c r="K516" s="1"/>
  <c r="L516" s="1"/>
  <c r="M516" s="1"/>
  <c r="O515"/>
  <c r="J515"/>
  <c r="K515" s="1"/>
  <c r="L515" s="1"/>
  <c r="M515" s="1"/>
  <c r="O513"/>
  <c r="K513"/>
  <c r="L513" s="1"/>
  <c r="M513" s="1"/>
  <c r="J513"/>
  <c r="H512"/>
  <c r="O512" s="1"/>
  <c r="H511"/>
  <c r="O511" s="1"/>
  <c r="H510"/>
  <c r="O510" s="1"/>
  <c r="H509"/>
  <c r="O509" s="1"/>
  <c r="H508"/>
  <c r="O508" s="1"/>
  <c r="H507"/>
  <c r="O507" s="1"/>
  <c r="H506"/>
  <c r="O506" s="1"/>
  <c r="H505"/>
  <c r="O505" s="1"/>
  <c r="H504"/>
  <c r="O504" s="1"/>
  <c r="H503"/>
  <c r="I503" s="1"/>
  <c r="H502"/>
  <c r="O502" s="1"/>
  <c r="H501"/>
  <c r="I501" s="1"/>
  <c r="H500"/>
  <c r="O500" s="1"/>
  <c r="H499"/>
  <c r="I499" s="1"/>
  <c r="H498"/>
  <c r="O498" s="1"/>
  <c r="H497"/>
  <c r="I497" s="1"/>
  <c r="H496"/>
  <c r="O496" s="1"/>
  <c r="H495"/>
  <c r="I495" s="1"/>
  <c r="H494"/>
  <c r="O494" s="1"/>
  <c r="H493"/>
  <c r="I493" s="1"/>
  <c r="H492"/>
  <c r="O492" s="1"/>
  <c r="H491"/>
  <c r="I491" s="1"/>
  <c r="H490"/>
  <c r="O490" s="1"/>
  <c r="H489"/>
  <c r="I489" s="1"/>
  <c r="H488"/>
  <c r="O488" s="1"/>
  <c r="H487"/>
  <c r="I487" s="1"/>
  <c r="H486"/>
  <c r="O486" s="1"/>
  <c r="H485"/>
  <c r="I485" s="1"/>
  <c r="H484"/>
  <c r="O484" s="1"/>
  <c r="H483"/>
  <c r="I483" s="1"/>
  <c r="H482"/>
  <c r="O482" s="1"/>
  <c r="H481"/>
  <c r="I481" s="1"/>
  <c r="H480"/>
  <c r="O480" s="1"/>
  <c r="H479"/>
  <c r="I479" s="1"/>
  <c r="H478"/>
  <c r="O478" s="1"/>
  <c r="H477"/>
  <c r="I477" s="1"/>
  <c r="H476"/>
  <c r="O476" s="1"/>
  <c r="H475"/>
  <c r="I475" s="1"/>
  <c r="H474"/>
  <c r="O474" s="1"/>
  <c r="H473"/>
  <c r="I473" s="1"/>
  <c r="H472"/>
  <c r="O472" s="1"/>
  <c r="H471"/>
  <c r="I471" s="1"/>
  <c r="H470"/>
  <c r="O470" s="1"/>
  <c r="H469"/>
  <c r="I469" s="1"/>
  <c r="H468"/>
  <c r="O468" s="1"/>
  <c r="H467"/>
  <c r="I467" s="1"/>
  <c r="H466"/>
  <c r="O466" s="1"/>
  <c r="H465"/>
  <c r="I465" s="1"/>
  <c r="H464"/>
  <c r="O464" s="1"/>
  <c r="H463"/>
  <c r="I463" s="1"/>
  <c r="H462"/>
  <c r="O462" s="1"/>
  <c r="H461"/>
  <c r="I461" s="1"/>
  <c r="H460"/>
  <c r="O460" s="1"/>
  <c r="H459"/>
  <c r="I459" s="1"/>
  <c r="H458"/>
  <c r="O458" s="1"/>
  <c r="H457"/>
  <c r="I457" s="1"/>
  <c r="H456"/>
  <c r="O456" s="1"/>
  <c r="H455"/>
  <c r="I455" s="1"/>
  <c r="H454"/>
  <c r="O454" s="1"/>
  <c r="H453"/>
  <c r="I453" s="1"/>
  <c r="H452"/>
  <c r="O452" s="1"/>
  <c r="H451"/>
  <c r="I451" s="1"/>
  <c r="H450"/>
  <c r="O450" s="1"/>
  <c r="O449"/>
  <c r="J449"/>
  <c r="K449" s="1"/>
  <c r="L449" s="1"/>
  <c r="M449" s="1"/>
  <c r="I449"/>
  <c r="O448"/>
  <c r="J448"/>
  <c r="K448" s="1"/>
  <c r="L448" s="1"/>
  <c r="M448" s="1"/>
  <c r="I448"/>
  <c r="O447"/>
  <c r="J447"/>
  <c r="K447" s="1"/>
  <c r="L447" s="1"/>
  <c r="M447" s="1"/>
  <c r="I447"/>
  <c r="O446"/>
  <c r="J446"/>
  <c r="K446" s="1"/>
  <c r="L446" s="1"/>
  <c r="M446" s="1"/>
  <c r="I446"/>
  <c r="O445"/>
  <c r="J445"/>
  <c r="K445" s="1"/>
  <c r="L445" s="1"/>
  <c r="M445" s="1"/>
  <c r="I445"/>
  <c r="O444"/>
  <c r="J444"/>
  <c r="K444" s="1"/>
  <c r="L444" s="1"/>
  <c r="M444" s="1"/>
  <c r="I444"/>
  <c r="O443"/>
  <c r="J443"/>
  <c r="K443" s="1"/>
  <c r="L443" s="1"/>
  <c r="M443" s="1"/>
  <c r="I443"/>
  <c r="O442"/>
  <c r="J442"/>
  <c r="K442" s="1"/>
  <c r="L442" s="1"/>
  <c r="M442" s="1"/>
  <c r="I442"/>
  <c r="O441"/>
  <c r="J441"/>
  <c r="K441" s="1"/>
  <c r="L441" s="1"/>
  <c r="M441" s="1"/>
  <c r="I441"/>
  <c r="O440"/>
  <c r="J440"/>
  <c r="K440" s="1"/>
  <c r="L440" s="1"/>
  <c r="M440" s="1"/>
  <c r="I440"/>
  <c r="H439"/>
  <c r="I439" s="1"/>
  <c r="H438"/>
  <c r="O438" s="1"/>
  <c r="H437"/>
  <c r="I437" s="1"/>
  <c r="H436"/>
  <c r="O436" s="1"/>
  <c r="H435"/>
  <c r="I435" s="1"/>
  <c r="H434"/>
  <c r="O434" s="1"/>
  <c r="H433"/>
  <c r="I433" s="1"/>
  <c r="H432"/>
  <c r="O432" s="1"/>
  <c r="H431"/>
  <c r="O431" s="1"/>
  <c r="H430"/>
  <c r="O430" s="1"/>
  <c r="H429"/>
  <c r="O429" s="1"/>
  <c r="H428"/>
  <c r="O428" s="1"/>
  <c r="H427"/>
  <c r="O427" s="1"/>
  <c r="H426"/>
  <c r="O426" s="1"/>
  <c r="H425"/>
  <c r="O425" s="1"/>
  <c r="H424"/>
  <c r="O424" s="1"/>
  <c r="H423"/>
  <c r="O423" s="1"/>
  <c r="H422"/>
  <c r="O422" s="1"/>
  <c r="H421"/>
  <c r="O421" s="1"/>
  <c r="H420"/>
  <c r="O420" s="1"/>
  <c r="H419"/>
  <c r="O419" s="1"/>
  <c r="H418"/>
  <c r="O418" s="1"/>
  <c r="H417"/>
  <c r="O417" s="1"/>
  <c r="H416"/>
  <c r="O416" s="1"/>
  <c r="H415"/>
  <c r="O415" s="1"/>
  <c r="H414"/>
  <c r="O414" s="1"/>
  <c r="H413"/>
  <c r="O413" s="1"/>
  <c r="H412"/>
  <c r="O412" s="1"/>
  <c r="H411"/>
  <c r="O411" s="1"/>
  <c r="H410"/>
  <c r="O410" s="1"/>
  <c r="H409"/>
  <c r="O409" s="1"/>
  <c r="H408"/>
  <c r="O408" s="1"/>
  <c r="H407"/>
  <c r="O407" s="1"/>
  <c r="H406"/>
  <c r="O406" s="1"/>
  <c r="H405"/>
  <c r="O405" s="1"/>
  <c r="H404"/>
  <c r="O404" s="1"/>
  <c r="H403"/>
  <c r="O403" s="1"/>
  <c r="H402"/>
  <c r="O402" s="1"/>
  <c r="H401"/>
  <c r="O401" s="1"/>
  <c r="H400"/>
  <c r="O400" s="1"/>
  <c r="H399"/>
  <c r="O399" s="1"/>
  <c r="H398"/>
  <c r="O398" s="1"/>
  <c r="H397"/>
  <c r="O397" s="1"/>
  <c r="H396"/>
  <c r="O396" s="1"/>
  <c r="H395"/>
  <c r="O395" s="1"/>
  <c r="H394"/>
  <c r="O394" s="1"/>
  <c r="H393"/>
  <c r="O393" s="1"/>
  <c r="H392"/>
  <c r="O392" s="1"/>
  <c r="H391"/>
  <c r="O391" s="1"/>
  <c r="H390"/>
  <c r="O390" s="1"/>
  <c r="H389"/>
  <c r="O389" s="1"/>
  <c r="H388"/>
  <c r="O388" s="1"/>
  <c r="H387"/>
  <c r="O387" s="1"/>
  <c r="H386"/>
  <c r="O386" s="1"/>
  <c r="H385"/>
  <c r="O385" s="1"/>
  <c r="H384"/>
  <c r="O384" s="1"/>
  <c r="H383"/>
  <c r="O383" s="1"/>
  <c r="H382"/>
  <c r="O382" s="1"/>
  <c r="H381"/>
  <c r="O381" s="1"/>
  <c r="H380"/>
  <c r="O380" s="1"/>
  <c r="O378"/>
  <c r="J378"/>
  <c r="K378" s="1"/>
  <c r="L378" s="1"/>
  <c r="M378" s="1"/>
  <c r="I378"/>
  <c r="K377"/>
  <c r="L377" s="1"/>
  <c r="H377"/>
  <c r="O377" s="1"/>
  <c r="H375"/>
  <c r="O375" s="1"/>
  <c r="H374"/>
  <c r="O374" s="1"/>
  <c r="H373"/>
  <c r="O373" s="1"/>
  <c r="H372"/>
  <c r="O372" s="1"/>
  <c r="H371"/>
  <c r="O371" s="1"/>
  <c r="H370"/>
  <c r="O370" s="1"/>
  <c r="H369"/>
  <c r="O369" s="1"/>
  <c r="H368"/>
  <c r="O368" s="1"/>
  <c r="H367"/>
  <c r="O367" s="1"/>
  <c r="H366"/>
  <c r="O366" s="1"/>
  <c r="O365"/>
  <c r="J365"/>
  <c r="K365" s="1"/>
  <c r="L365" s="1"/>
  <c r="M365" s="1"/>
  <c r="I365"/>
  <c r="H364"/>
  <c r="O364" s="1"/>
  <c r="H363"/>
  <c r="O363" s="1"/>
  <c r="H362"/>
  <c r="O362" s="1"/>
  <c r="H361"/>
  <c r="O361" s="1"/>
  <c r="H360"/>
  <c r="O360" s="1"/>
  <c r="H359"/>
  <c r="O359" s="1"/>
  <c r="H358"/>
  <c r="O358" s="1"/>
  <c r="H357"/>
  <c r="O357" s="1"/>
  <c r="H356"/>
  <c r="O356" s="1"/>
  <c r="H355"/>
  <c r="O355" s="1"/>
  <c r="H354"/>
  <c r="J354" s="1"/>
  <c r="K354" s="1"/>
  <c r="L354" s="1"/>
  <c r="H353"/>
  <c r="J353" s="1"/>
  <c r="K353" s="1"/>
  <c r="L353" s="1"/>
  <c r="H352"/>
  <c r="O352" s="1"/>
  <c r="H351"/>
  <c r="J351" s="1"/>
  <c r="K351" s="1"/>
  <c r="L351" s="1"/>
  <c r="H350"/>
  <c r="O350" s="1"/>
  <c r="O349"/>
  <c r="J349"/>
  <c r="K349" s="1"/>
  <c r="L349" s="1"/>
  <c r="M349" s="1"/>
  <c r="K348"/>
  <c r="L348" s="1"/>
  <c r="H348"/>
  <c r="O348" s="1"/>
  <c r="H347"/>
  <c r="I347" s="1"/>
  <c r="H346"/>
  <c r="O346" s="1"/>
  <c r="O345"/>
  <c r="J345"/>
  <c r="K345" s="1"/>
  <c r="L345" s="1"/>
  <c r="M345" s="1"/>
  <c r="I345"/>
  <c r="H344"/>
  <c r="O344" s="1"/>
  <c r="O343"/>
  <c r="J343"/>
  <c r="K343" s="1"/>
  <c r="L343" s="1"/>
  <c r="M343" s="1"/>
  <c r="I343"/>
  <c r="H342"/>
  <c r="O342" s="1"/>
  <c r="H341"/>
  <c r="O341" s="1"/>
  <c r="H340"/>
  <c r="O340" s="1"/>
  <c r="E339"/>
  <c r="H339" s="1"/>
  <c r="H338"/>
  <c r="O338" s="1"/>
  <c r="F338"/>
  <c r="H337"/>
  <c r="O337" s="1"/>
  <c r="F337"/>
  <c r="K336"/>
  <c r="L336" s="1"/>
  <c r="H336"/>
  <c r="O336" s="1"/>
  <c r="F336"/>
  <c r="E334"/>
  <c r="H334" s="1"/>
  <c r="E333"/>
  <c r="H333" s="1"/>
  <c r="H332"/>
  <c r="O332" s="1"/>
  <c r="F332"/>
  <c r="E331"/>
  <c r="H331" s="1"/>
  <c r="E330"/>
  <c r="H330" s="1"/>
  <c r="E329"/>
  <c r="H329" s="1"/>
  <c r="H327"/>
  <c r="O327" s="1"/>
  <c r="H326"/>
  <c r="O326" s="1"/>
  <c r="F326"/>
  <c r="H325"/>
  <c r="O325" s="1"/>
  <c r="F325"/>
  <c r="H324"/>
  <c r="O324" s="1"/>
  <c r="F324"/>
  <c r="K323"/>
  <c r="L323" s="1"/>
  <c r="H323"/>
  <c r="O323" s="1"/>
  <c r="F323"/>
  <c r="E322"/>
  <c r="H322" s="1"/>
  <c r="H321"/>
  <c r="O321" s="1"/>
  <c r="F321"/>
  <c r="E320"/>
  <c r="H320" s="1"/>
  <c r="E318"/>
  <c r="H318" s="1"/>
  <c r="E317"/>
  <c r="H317" s="1"/>
  <c r="E316"/>
  <c r="H316" s="1"/>
  <c r="E315"/>
  <c r="H315" s="1"/>
  <c r="E314"/>
  <c r="H314" s="1"/>
  <c r="E313"/>
  <c r="H313" s="1"/>
  <c r="E312"/>
  <c r="H312" s="1"/>
  <c r="E311"/>
  <c r="H311" s="1"/>
  <c r="E310"/>
  <c r="H310" s="1"/>
  <c r="E309"/>
  <c r="H309" s="1"/>
  <c r="E308"/>
  <c r="H308" s="1"/>
  <c r="E307"/>
  <c r="H307" s="1"/>
  <c r="E306"/>
  <c r="H306" s="1"/>
  <c r="E305"/>
  <c r="H305" s="1"/>
  <c r="E304"/>
  <c r="H304" s="1"/>
  <c r="E303"/>
  <c r="H303" s="1"/>
  <c r="E302"/>
  <c r="H302" s="1"/>
  <c r="E301"/>
  <c r="H301" s="1"/>
  <c r="E300"/>
  <c r="H300" s="1"/>
  <c r="E299"/>
  <c r="H299" s="1"/>
  <c r="E298"/>
  <c r="H298" s="1"/>
  <c r="E297"/>
  <c r="H297" s="1"/>
  <c r="E296"/>
  <c r="H296" s="1"/>
  <c r="E295"/>
  <c r="H295" s="1"/>
  <c r="E294"/>
  <c r="H294" s="1"/>
  <c r="E293"/>
  <c r="H293" s="1"/>
  <c r="E292"/>
  <c r="H292" s="1"/>
  <c r="E291"/>
  <c r="H291" s="1"/>
  <c r="E290"/>
  <c r="H290" s="1"/>
  <c r="E289"/>
  <c r="H289" s="1"/>
  <c r="E288"/>
  <c r="H288" s="1"/>
  <c r="E287"/>
  <c r="H287" s="1"/>
  <c r="E286"/>
  <c r="H286" s="1"/>
  <c r="E285"/>
  <c r="H285" s="1"/>
  <c r="E284"/>
  <c r="H284" s="1"/>
  <c r="E283"/>
  <c r="H283" s="1"/>
  <c r="E282"/>
  <c r="H282" s="1"/>
  <c r="E281"/>
  <c r="H281" s="1"/>
  <c r="E280"/>
  <c r="H280" s="1"/>
  <c r="E279"/>
  <c r="H279" s="1"/>
  <c r="E278"/>
  <c r="H278" s="1"/>
  <c r="E277"/>
  <c r="H277" s="1"/>
  <c r="E276"/>
  <c r="H276" s="1"/>
  <c r="E275"/>
  <c r="F275" s="1"/>
  <c r="E274"/>
  <c r="H274" s="1"/>
  <c r="E273"/>
  <c r="F273" s="1"/>
  <c r="E272"/>
  <c r="H272" s="1"/>
  <c r="E271"/>
  <c r="F271" s="1"/>
  <c r="E270"/>
  <c r="H270" s="1"/>
  <c r="E269"/>
  <c r="F269" s="1"/>
  <c r="E268"/>
  <c r="H268" s="1"/>
  <c r="E267"/>
  <c r="F267" s="1"/>
  <c r="E266"/>
  <c r="H266" s="1"/>
  <c r="E265"/>
  <c r="F265" s="1"/>
  <c r="E264"/>
  <c r="H264" s="1"/>
  <c r="E263"/>
  <c r="F263" s="1"/>
  <c r="E262"/>
  <c r="H262" s="1"/>
  <c r="E261"/>
  <c r="F261" s="1"/>
  <c r="E260"/>
  <c r="H260" s="1"/>
  <c r="E259"/>
  <c r="F259" s="1"/>
  <c r="E258"/>
  <c r="H258" s="1"/>
  <c r="E257"/>
  <c r="F257" s="1"/>
  <c r="E255"/>
  <c r="F255" s="1"/>
  <c r="E254"/>
  <c r="H254" s="1"/>
  <c r="E253"/>
  <c r="F253" s="1"/>
  <c r="E252"/>
  <c r="H252" s="1"/>
  <c r="E251"/>
  <c r="F251" s="1"/>
  <c r="E250"/>
  <c r="H250" s="1"/>
  <c r="E249"/>
  <c r="F249" s="1"/>
  <c r="E248"/>
  <c r="H248" s="1"/>
  <c r="E247"/>
  <c r="F247" s="1"/>
  <c r="E246"/>
  <c r="H246" s="1"/>
  <c r="E245"/>
  <c r="F245" s="1"/>
  <c r="E244"/>
  <c r="H244" s="1"/>
  <c r="E243"/>
  <c r="F243" s="1"/>
  <c r="E242"/>
  <c r="H242" s="1"/>
  <c r="E241"/>
  <c r="F241" s="1"/>
  <c r="E240"/>
  <c r="H240" s="1"/>
  <c r="E239"/>
  <c r="F239" s="1"/>
  <c r="E238"/>
  <c r="H238" s="1"/>
  <c r="E237"/>
  <c r="F237" s="1"/>
  <c r="E236"/>
  <c r="H236" s="1"/>
  <c r="H235"/>
  <c r="I235" s="1"/>
  <c r="F235"/>
  <c r="E234"/>
  <c r="F234" s="1"/>
  <c r="E233"/>
  <c r="H233" s="1"/>
  <c r="E232"/>
  <c r="F232" s="1"/>
  <c r="E231"/>
  <c r="H231" s="1"/>
  <c r="E230"/>
  <c r="F230" s="1"/>
  <c r="E229"/>
  <c r="H229" s="1"/>
  <c r="E227"/>
  <c r="F227" s="1"/>
  <c r="E226"/>
  <c r="H226" s="1"/>
  <c r="E224"/>
  <c r="H224" s="1"/>
  <c r="E223"/>
  <c r="F223" s="1"/>
  <c r="E222"/>
  <c r="H222" s="1"/>
  <c r="E221"/>
  <c r="F221" s="1"/>
  <c r="E220"/>
  <c r="H220" s="1"/>
  <c r="E219"/>
  <c r="F219" s="1"/>
  <c r="E218"/>
  <c r="H218" s="1"/>
  <c r="E217"/>
  <c r="F217" s="1"/>
  <c r="E216"/>
  <c r="H216" s="1"/>
  <c r="E215"/>
  <c r="F215" s="1"/>
  <c r="E213"/>
  <c r="F213" s="1"/>
  <c r="E212"/>
  <c r="H212" s="1"/>
  <c r="E211"/>
  <c r="F211" s="1"/>
  <c r="E210"/>
  <c r="H210" s="1"/>
  <c r="E209"/>
  <c r="F209" s="1"/>
  <c r="E208"/>
  <c r="H208" s="1"/>
  <c r="E207"/>
  <c r="F207" s="1"/>
  <c r="E206"/>
  <c r="H206" s="1"/>
  <c r="E205"/>
  <c r="F205" s="1"/>
  <c r="E204"/>
  <c r="H204" s="1"/>
  <c r="E203"/>
  <c r="H203" s="1"/>
  <c r="E202"/>
  <c r="H202" s="1"/>
  <c r="E201"/>
  <c r="H201" s="1"/>
  <c r="E200"/>
  <c r="H200" s="1"/>
  <c r="E199"/>
  <c r="H199" s="1"/>
  <c r="E198"/>
  <c r="H198" s="1"/>
  <c r="E197"/>
  <c r="H197" s="1"/>
  <c r="E196"/>
  <c r="H196" s="1"/>
  <c r="E195"/>
  <c r="H195" s="1"/>
  <c r="E194"/>
  <c r="H194" s="1"/>
  <c r="E193"/>
  <c r="H193" s="1"/>
  <c r="E192"/>
  <c r="H192" s="1"/>
  <c r="E191"/>
  <c r="H191" s="1"/>
  <c r="E190"/>
  <c r="H190" s="1"/>
  <c r="E189"/>
  <c r="H189" s="1"/>
  <c r="E188"/>
  <c r="H188" s="1"/>
  <c r="E187"/>
  <c r="H187" s="1"/>
  <c r="E186"/>
  <c r="H186" s="1"/>
  <c r="E185"/>
  <c r="H185" s="1"/>
  <c r="E184"/>
  <c r="H184" s="1"/>
  <c r="E183"/>
  <c r="H183" s="1"/>
  <c r="E180"/>
  <c r="H180" s="1"/>
  <c r="E179"/>
  <c r="F179" s="1"/>
  <c r="E178"/>
  <c r="H178" s="1"/>
  <c r="E177"/>
  <c r="F177" s="1"/>
  <c r="E176"/>
  <c r="H176" s="1"/>
  <c r="E175"/>
  <c r="F175" s="1"/>
  <c r="E174"/>
  <c r="H174" s="1"/>
  <c r="E173"/>
  <c r="F173" s="1"/>
  <c r="E172"/>
  <c r="H172" s="1"/>
  <c r="E171"/>
  <c r="F171" s="1"/>
  <c r="E170"/>
  <c r="H170" s="1"/>
  <c r="E169"/>
  <c r="F169" s="1"/>
  <c r="E168"/>
  <c r="H168" s="1"/>
  <c r="E167"/>
  <c r="H167" s="1"/>
  <c r="E166"/>
  <c r="H166" s="1"/>
  <c r="E165"/>
  <c r="H165" s="1"/>
  <c r="E164"/>
  <c r="H164" s="1"/>
  <c r="E163"/>
  <c r="F163" s="1"/>
  <c r="E162"/>
  <c r="H162" s="1"/>
  <c r="E161"/>
  <c r="H161" s="1"/>
  <c r="E160"/>
  <c r="H160" s="1"/>
  <c r="E159"/>
  <c r="H159" s="1"/>
  <c r="E158"/>
  <c r="H158" s="1"/>
  <c r="E157"/>
  <c r="H157" s="1"/>
  <c r="E156"/>
  <c r="H156" s="1"/>
  <c r="E155"/>
  <c r="H155" s="1"/>
  <c r="E154"/>
  <c r="H154" s="1"/>
  <c r="E153"/>
  <c r="H153" s="1"/>
  <c r="E152"/>
  <c r="H152" s="1"/>
  <c r="E151"/>
  <c r="H151" s="1"/>
  <c r="E150"/>
  <c r="H150" s="1"/>
  <c r="E149"/>
  <c r="H149" s="1"/>
  <c r="E148"/>
  <c r="H148" s="1"/>
  <c r="E147"/>
  <c r="H147" s="1"/>
  <c r="E146"/>
  <c r="H146" s="1"/>
  <c r="E145"/>
  <c r="H145" s="1"/>
  <c r="E144"/>
  <c r="H144" s="1"/>
  <c r="E143"/>
  <c r="H143" s="1"/>
  <c r="E142"/>
  <c r="H142" s="1"/>
  <c r="E141"/>
  <c r="H141" s="1"/>
  <c r="E140"/>
  <c r="H140" s="1"/>
  <c r="E139"/>
  <c r="H139" s="1"/>
  <c r="E138"/>
  <c r="H138" s="1"/>
  <c r="K137"/>
  <c r="L137" s="1"/>
  <c r="E136"/>
  <c r="H136" s="1"/>
  <c r="E135"/>
  <c r="H135" s="1"/>
  <c r="E134"/>
  <c r="F134" s="1"/>
  <c r="E133"/>
  <c r="H133" s="1"/>
  <c r="E132"/>
  <c r="F132" s="1"/>
  <c r="E131"/>
  <c r="H131" s="1"/>
  <c r="E130"/>
  <c r="H130" s="1"/>
  <c r="E129"/>
  <c r="H129" s="1"/>
  <c r="E128"/>
  <c r="H128" s="1"/>
  <c r="E127"/>
  <c r="H127" s="1"/>
  <c r="E126"/>
  <c r="F126" s="1"/>
  <c r="E125"/>
  <c r="H125" s="1"/>
  <c r="E124"/>
  <c r="F124" s="1"/>
  <c r="E123"/>
  <c r="H123" s="1"/>
  <c r="E122"/>
  <c r="F122" s="1"/>
  <c r="E121"/>
  <c r="H121" s="1"/>
  <c r="E120"/>
  <c r="F120" s="1"/>
  <c r="E119"/>
  <c r="H119" s="1"/>
  <c r="E118"/>
  <c r="F118" s="1"/>
  <c r="E117"/>
  <c r="H117" s="1"/>
  <c r="E116"/>
  <c r="F116" s="1"/>
  <c r="E115"/>
  <c r="H115" s="1"/>
  <c r="E114"/>
  <c r="F114" s="1"/>
  <c r="E113"/>
  <c r="H113" s="1"/>
  <c r="E112"/>
  <c r="F112" s="1"/>
  <c r="E111"/>
  <c r="H111" s="1"/>
  <c r="E110"/>
  <c r="F110" s="1"/>
  <c r="E109"/>
  <c r="H109" s="1"/>
  <c r="E108"/>
  <c r="F108" s="1"/>
  <c r="E107"/>
  <c r="H107" s="1"/>
  <c r="E106"/>
  <c r="F106" s="1"/>
  <c r="E105"/>
  <c r="H105" s="1"/>
  <c r="E104"/>
  <c r="F104" s="1"/>
  <c r="E103"/>
  <c r="H103" s="1"/>
  <c r="E102"/>
  <c r="F102" s="1"/>
  <c r="E101"/>
  <c r="H101" s="1"/>
  <c r="E100"/>
  <c r="F100" s="1"/>
  <c r="E99"/>
  <c r="H99" s="1"/>
  <c r="E98"/>
  <c r="F98" s="1"/>
  <c r="E97"/>
  <c r="H97" s="1"/>
  <c r="E96"/>
  <c r="F96" s="1"/>
  <c r="E95"/>
  <c r="H95" s="1"/>
  <c r="E94"/>
  <c r="F94" s="1"/>
  <c r="E93"/>
  <c r="H93" s="1"/>
  <c r="E92"/>
  <c r="F92" s="1"/>
  <c r="E91"/>
  <c r="H91" s="1"/>
  <c r="E90"/>
  <c r="F90" s="1"/>
  <c r="E89"/>
  <c r="H89" s="1"/>
  <c r="E88"/>
  <c r="F88" s="1"/>
  <c r="E87"/>
  <c r="H87" s="1"/>
  <c r="E86"/>
  <c r="F86" s="1"/>
  <c r="E85"/>
  <c r="H85" s="1"/>
  <c r="E84"/>
  <c r="F84" s="1"/>
  <c r="E83"/>
  <c r="H83" s="1"/>
  <c r="E82"/>
  <c r="F82" s="1"/>
  <c r="E81"/>
  <c r="H81" s="1"/>
  <c r="E80"/>
  <c r="F80" s="1"/>
  <c r="E79"/>
  <c r="H79" s="1"/>
  <c r="E78"/>
  <c r="F78" s="1"/>
  <c r="E77"/>
  <c r="H77" s="1"/>
  <c r="E76"/>
  <c r="F76" s="1"/>
  <c r="E75"/>
  <c r="H75" s="1"/>
  <c r="E74"/>
  <c r="F74" s="1"/>
  <c r="E73"/>
  <c r="H73" s="1"/>
  <c r="E72"/>
  <c r="F72" s="1"/>
  <c r="H71"/>
  <c r="O71" s="1"/>
  <c r="F71"/>
  <c r="E70"/>
  <c r="H70" s="1"/>
  <c r="J69"/>
  <c r="K69" s="1"/>
  <c r="L69" s="1"/>
  <c r="M69" s="1"/>
  <c r="E68"/>
  <c r="F68" s="1"/>
  <c r="E67"/>
  <c r="H67" s="1"/>
  <c r="E66"/>
  <c r="E65"/>
  <c r="H65" s="1"/>
  <c r="E64"/>
  <c r="H64" s="1"/>
  <c r="E63"/>
  <c r="H63" s="1"/>
  <c r="E62"/>
  <c r="H62" s="1"/>
  <c r="H61"/>
  <c r="O61" s="1"/>
  <c r="F61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H34"/>
  <c r="O34" s="1"/>
  <c r="H33"/>
  <c r="O33" s="1"/>
  <c r="H32"/>
  <c r="O32" s="1"/>
  <c r="H31"/>
  <c r="O31" s="1"/>
  <c r="H30"/>
  <c r="O30" s="1"/>
  <c r="H29"/>
  <c r="O29" s="1"/>
  <c r="H28"/>
  <c r="O28" s="1"/>
  <c r="H27"/>
  <c r="O27" s="1"/>
  <c r="H26"/>
  <c r="O26" s="1"/>
  <c r="G24"/>
  <c r="F51" l="1"/>
  <c r="F218"/>
  <c r="I429"/>
  <c r="I436"/>
  <c r="I344"/>
  <c r="C285" i="15"/>
  <c r="G289" s="1"/>
  <c r="D690" i="14"/>
  <c r="O71" i="15"/>
  <c r="D380" i="14"/>
  <c r="F320"/>
  <c r="F330"/>
  <c r="I341"/>
  <c r="T229" i="15"/>
  <c r="T227"/>
  <c r="J403" s="1"/>
  <c r="T228"/>
  <c r="C277"/>
  <c r="C279" s="1"/>
  <c r="T222"/>
  <c r="C269"/>
  <c r="F273" s="1"/>
  <c r="C253"/>
  <c r="F257" s="1"/>
  <c r="E369"/>
  <c r="C369"/>
  <c r="E365"/>
  <c r="E367"/>
  <c r="G369"/>
  <c r="D367"/>
  <c r="D369"/>
  <c r="F365"/>
  <c r="G359"/>
  <c r="D357"/>
  <c r="E359"/>
  <c r="G361"/>
  <c r="G357"/>
  <c r="F359"/>
  <c r="E361"/>
  <c r="F361"/>
  <c r="C359"/>
  <c r="D361"/>
  <c r="F357"/>
  <c r="E357"/>
  <c r="D359"/>
  <c r="C361"/>
  <c r="C375"/>
  <c r="C377"/>
  <c r="D373"/>
  <c r="F375"/>
  <c r="E373"/>
  <c r="E375"/>
  <c r="D377"/>
  <c r="G377"/>
  <c r="D375"/>
  <c r="E377"/>
  <c r="F373"/>
  <c r="G373"/>
  <c r="G375"/>
  <c r="F377"/>
  <c r="G297"/>
  <c r="D321"/>
  <c r="E279"/>
  <c r="D365"/>
  <c r="C367"/>
  <c r="G367"/>
  <c r="F369"/>
  <c r="G365"/>
  <c r="F367"/>
  <c r="J169"/>
  <c r="M169" s="1"/>
  <c r="N169" s="1"/>
  <c r="M120"/>
  <c r="N120" s="1"/>
  <c r="I149"/>
  <c r="J149" s="1"/>
  <c r="M149" s="1"/>
  <c r="N149" s="1"/>
  <c r="F159" i="14"/>
  <c r="F287"/>
  <c r="I397"/>
  <c r="F35"/>
  <c r="F75"/>
  <c r="F128"/>
  <c r="F143"/>
  <c r="F303"/>
  <c r="I381"/>
  <c r="I413"/>
  <c r="J12" i="15"/>
  <c r="M12" s="1"/>
  <c r="N12" s="1"/>
  <c r="J13"/>
  <c r="M13" s="1"/>
  <c r="N13" s="1"/>
  <c r="F289"/>
  <c r="I27" i="14"/>
  <c r="F43"/>
  <c r="F59"/>
  <c r="F151"/>
  <c r="F197"/>
  <c r="F210"/>
  <c r="F238"/>
  <c r="F279"/>
  <c r="F295"/>
  <c r="F311"/>
  <c r="I354"/>
  <c r="I357"/>
  <c r="I372"/>
  <c r="I389"/>
  <c r="I405"/>
  <c r="I421"/>
  <c r="I31"/>
  <c r="F39"/>
  <c r="F47"/>
  <c r="F55"/>
  <c r="F64"/>
  <c r="F67"/>
  <c r="I71"/>
  <c r="F136"/>
  <c r="F139"/>
  <c r="F147"/>
  <c r="F155"/>
  <c r="F165"/>
  <c r="F201"/>
  <c r="F206"/>
  <c r="F222"/>
  <c r="F283"/>
  <c r="F291"/>
  <c r="F299"/>
  <c r="F307"/>
  <c r="F315"/>
  <c r="I346"/>
  <c r="I361"/>
  <c r="I368"/>
  <c r="I385"/>
  <c r="I393"/>
  <c r="I401"/>
  <c r="I409"/>
  <c r="I417"/>
  <c r="I425"/>
  <c r="I507"/>
  <c r="J24" i="15"/>
  <c r="M24" s="1"/>
  <c r="N24" s="1"/>
  <c r="D277"/>
  <c r="F279"/>
  <c r="F287"/>
  <c r="N27"/>
  <c r="O27" s="1"/>
  <c r="G265"/>
  <c r="E265"/>
  <c r="C265"/>
  <c r="F263"/>
  <c r="D263"/>
  <c r="G261"/>
  <c r="E261"/>
  <c r="F265"/>
  <c r="D265"/>
  <c r="G263"/>
  <c r="E263"/>
  <c r="C263"/>
  <c r="F261"/>
  <c r="D261"/>
  <c r="F321"/>
  <c r="G319"/>
  <c r="C319"/>
  <c r="D317"/>
  <c r="E321"/>
  <c r="F319"/>
  <c r="G317"/>
  <c r="F127"/>
  <c r="I127" s="1"/>
  <c r="J127" s="1"/>
  <c r="M127" s="1"/>
  <c r="N127" s="1"/>
  <c r="F305"/>
  <c r="D305"/>
  <c r="G303"/>
  <c r="E303"/>
  <c r="C303"/>
  <c r="F301"/>
  <c r="D301"/>
  <c r="G305"/>
  <c r="E305"/>
  <c r="C305"/>
  <c r="F303"/>
  <c r="D303"/>
  <c r="G301"/>
  <c r="E301"/>
  <c r="E297"/>
  <c r="C297"/>
  <c r="F295"/>
  <c r="D295"/>
  <c r="G293"/>
  <c r="E293"/>
  <c r="F297"/>
  <c r="D297"/>
  <c r="G295"/>
  <c r="E295"/>
  <c r="C295"/>
  <c r="F293"/>
  <c r="D293"/>
  <c r="G313"/>
  <c r="E313"/>
  <c r="C313"/>
  <c r="F311"/>
  <c r="D311"/>
  <c r="G309"/>
  <c r="E309"/>
  <c r="F313"/>
  <c r="D313"/>
  <c r="G311"/>
  <c r="E311"/>
  <c r="C311"/>
  <c r="F309"/>
  <c r="D309"/>
  <c r="E253"/>
  <c r="G269"/>
  <c r="F271"/>
  <c r="E273"/>
  <c r="D257"/>
  <c r="F269"/>
  <c r="E271"/>
  <c r="D273"/>
  <c r="I29" i="14"/>
  <c r="I33"/>
  <c r="F37"/>
  <c r="F41"/>
  <c r="F45"/>
  <c r="F49"/>
  <c r="F53"/>
  <c r="F57"/>
  <c r="F62"/>
  <c r="F70"/>
  <c r="F73"/>
  <c r="F130"/>
  <c r="F141"/>
  <c r="F145"/>
  <c r="F149"/>
  <c r="F153"/>
  <c r="F157"/>
  <c r="F161"/>
  <c r="F167"/>
  <c r="F185"/>
  <c r="F189"/>
  <c r="F193"/>
  <c r="F231"/>
  <c r="F236"/>
  <c r="F246"/>
  <c r="F250"/>
  <c r="F277"/>
  <c r="F281"/>
  <c r="F285"/>
  <c r="F289"/>
  <c r="F293"/>
  <c r="F297"/>
  <c r="F301"/>
  <c r="F305"/>
  <c r="F309"/>
  <c r="F313"/>
  <c r="F317"/>
  <c r="I321"/>
  <c r="I327"/>
  <c r="F333"/>
  <c r="F339"/>
  <c r="I348"/>
  <c r="I350"/>
  <c r="I353"/>
  <c r="O354"/>
  <c r="I355"/>
  <c r="I359"/>
  <c r="I363"/>
  <c r="I366"/>
  <c r="I370"/>
  <c r="I374"/>
  <c r="I383"/>
  <c r="I387"/>
  <c r="I391"/>
  <c r="I395"/>
  <c r="I399"/>
  <c r="I403"/>
  <c r="I407"/>
  <c r="I411"/>
  <c r="I415"/>
  <c r="I419"/>
  <c r="I423"/>
  <c r="I427"/>
  <c r="I431"/>
  <c r="I434"/>
  <c r="I438"/>
  <c r="I476"/>
  <c r="I511"/>
  <c r="F183"/>
  <c r="F187"/>
  <c r="F191"/>
  <c r="F195"/>
  <c r="F199"/>
  <c r="F203"/>
  <c r="F204"/>
  <c r="F208"/>
  <c r="F212"/>
  <c r="F216"/>
  <c r="F220"/>
  <c r="F229"/>
  <c r="F233"/>
  <c r="F248"/>
  <c r="O353"/>
  <c r="I478"/>
  <c r="I505"/>
  <c r="I509"/>
  <c r="I35"/>
  <c r="O35"/>
  <c r="J35"/>
  <c r="K35" s="1"/>
  <c r="L35" s="1"/>
  <c r="M35" s="1"/>
  <c r="O36"/>
  <c r="J36"/>
  <c r="K36" s="1"/>
  <c r="L36" s="1"/>
  <c r="M36" s="1"/>
  <c r="I36"/>
  <c r="I39"/>
  <c r="O39"/>
  <c r="J39"/>
  <c r="K39" s="1"/>
  <c r="L39" s="1"/>
  <c r="M39" s="1"/>
  <c r="O40"/>
  <c r="J40"/>
  <c r="K40" s="1"/>
  <c r="L40" s="1"/>
  <c r="M40" s="1"/>
  <c r="I40"/>
  <c r="I43"/>
  <c r="O43"/>
  <c r="J43"/>
  <c r="K43" s="1"/>
  <c r="L43" s="1"/>
  <c r="M43" s="1"/>
  <c r="O44"/>
  <c r="J44"/>
  <c r="K44" s="1"/>
  <c r="L44" s="1"/>
  <c r="M44" s="1"/>
  <c r="I44"/>
  <c r="I47"/>
  <c r="O47"/>
  <c r="J47"/>
  <c r="K47" s="1"/>
  <c r="L47" s="1"/>
  <c r="M47" s="1"/>
  <c r="O48"/>
  <c r="J48"/>
  <c r="K48" s="1"/>
  <c r="L48" s="1"/>
  <c r="M48" s="1"/>
  <c r="I48"/>
  <c r="I51"/>
  <c r="O51"/>
  <c r="J51"/>
  <c r="K51" s="1"/>
  <c r="L51" s="1"/>
  <c r="M51" s="1"/>
  <c r="O52"/>
  <c r="J52"/>
  <c r="K52" s="1"/>
  <c r="L52" s="1"/>
  <c r="M52" s="1"/>
  <c r="I52"/>
  <c r="I55"/>
  <c r="O55"/>
  <c r="J55"/>
  <c r="K55" s="1"/>
  <c r="L55" s="1"/>
  <c r="M55" s="1"/>
  <c r="O56"/>
  <c r="J56"/>
  <c r="K56" s="1"/>
  <c r="L56" s="1"/>
  <c r="M56" s="1"/>
  <c r="I56"/>
  <c r="I59"/>
  <c r="O59"/>
  <c r="J59"/>
  <c r="K59" s="1"/>
  <c r="L59" s="1"/>
  <c r="M59" s="1"/>
  <c r="O60"/>
  <c r="J60"/>
  <c r="K60" s="1"/>
  <c r="L60" s="1"/>
  <c r="M60" s="1"/>
  <c r="I60"/>
  <c r="I64"/>
  <c r="O64"/>
  <c r="J64"/>
  <c r="K64" s="1"/>
  <c r="L64" s="1"/>
  <c r="M64" s="1"/>
  <c r="O65"/>
  <c r="J65"/>
  <c r="K65" s="1"/>
  <c r="L65" s="1"/>
  <c r="M65" s="1"/>
  <c r="I65"/>
  <c r="I37"/>
  <c r="O37"/>
  <c r="J37"/>
  <c r="K37" s="1"/>
  <c r="L37" s="1"/>
  <c r="M37" s="1"/>
  <c r="O38"/>
  <c r="J38"/>
  <c r="K38" s="1"/>
  <c r="L38" s="1"/>
  <c r="M38" s="1"/>
  <c r="I38"/>
  <c r="I41"/>
  <c r="O41"/>
  <c r="J41"/>
  <c r="K41" s="1"/>
  <c r="L41" s="1"/>
  <c r="M41" s="1"/>
  <c r="O42"/>
  <c r="J42"/>
  <c r="K42" s="1"/>
  <c r="L42" s="1"/>
  <c r="M42" s="1"/>
  <c r="I42"/>
  <c r="I45"/>
  <c r="O45"/>
  <c r="J45"/>
  <c r="K45" s="1"/>
  <c r="L45" s="1"/>
  <c r="M45" s="1"/>
  <c r="O46"/>
  <c r="J46"/>
  <c r="K46" s="1"/>
  <c r="L46" s="1"/>
  <c r="M46" s="1"/>
  <c r="I46"/>
  <c r="I49"/>
  <c r="O49"/>
  <c r="J49"/>
  <c r="K49" s="1"/>
  <c r="L49" s="1"/>
  <c r="M49" s="1"/>
  <c r="O50"/>
  <c r="J50"/>
  <c r="K50" s="1"/>
  <c r="L50" s="1"/>
  <c r="M50" s="1"/>
  <c r="I50"/>
  <c r="I53"/>
  <c r="O53"/>
  <c r="J53"/>
  <c r="K53" s="1"/>
  <c r="L53" s="1"/>
  <c r="M53" s="1"/>
  <c r="O54"/>
  <c r="J54"/>
  <c r="K54" s="1"/>
  <c r="L54" s="1"/>
  <c r="M54" s="1"/>
  <c r="I54"/>
  <c r="I57"/>
  <c r="O57"/>
  <c r="J57"/>
  <c r="K57" s="1"/>
  <c r="L57" s="1"/>
  <c r="M57" s="1"/>
  <c r="O58"/>
  <c r="J58"/>
  <c r="K58" s="1"/>
  <c r="L58" s="1"/>
  <c r="M58" s="1"/>
  <c r="I58"/>
  <c r="I62"/>
  <c r="O62"/>
  <c r="J62"/>
  <c r="K62" s="1"/>
  <c r="L62" s="1"/>
  <c r="M62" s="1"/>
  <c r="O63"/>
  <c r="J63"/>
  <c r="K63" s="1"/>
  <c r="L63" s="1"/>
  <c r="M63" s="1"/>
  <c r="I63"/>
  <c r="O67"/>
  <c r="J67"/>
  <c r="K67" s="1"/>
  <c r="L67" s="1"/>
  <c r="M67" s="1"/>
  <c r="I67"/>
  <c r="O75"/>
  <c r="J75"/>
  <c r="K75" s="1"/>
  <c r="L75" s="1"/>
  <c r="M75" s="1"/>
  <c r="I75"/>
  <c r="I128"/>
  <c r="O128"/>
  <c r="J128"/>
  <c r="K128" s="1"/>
  <c r="L128" s="1"/>
  <c r="M128" s="1"/>
  <c r="O129"/>
  <c r="J129"/>
  <c r="K129" s="1"/>
  <c r="L129" s="1"/>
  <c r="M129" s="1"/>
  <c r="I129"/>
  <c r="I136"/>
  <c r="O136"/>
  <c r="J136"/>
  <c r="K136" s="1"/>
  <c r="L136" s="1"/>
  <c r="M136" s="1"/>
  <c r="I139"/>
  <c r="O139"/>
  <c r="J139"/>
  <c r="K139" s="1"/>
  <c r="L139" s="1"/>
  <c r="M139" s="1"/>
  <c r="O140"/>
  <c r="J140"/>
  <c r="K140" s="1"/>
  <c r="L140" s="1"/>
  <c r="M140" s="1"/>
  <c r="I140"/>
  <c r="I143"/>
  <c r="O143"/>
  <c r="J143"/>
  <c r="K143" s="1"/>
  <c r="L143" s="1"/>
  <c r="M143" s="1"/>
  <c r="O144"/>
  <c r="J144"/>
  <c r="K144" s="1"/>
  <c r="L144" s="1"/>
  <c r="M144" s="1"/>
  <c r="I144"/>
  <c r="I147"/>
  <c r="O147"/>
  <c r="J147"/>
  <c r="K147" s="1"/>
  <c r="L147" s="1"/>
  <c r="M147" s="1"/>
  <c r="O148"/>
  <c r="J148"/>
  <c r="K148" s="1"/>
  <c r="L148" s="1"/>
  <c r="M148" s="1"/>
  <c r="I148"/>
  <c r="I151"/>
  <c r="O151"/>
  <c r="J151"/>
  <c r="K151" s="1"/>
  <c r="L151" s="1"/>
  <c r="M151" s="1"/>
  <c r="O152"/>
  <c r="J152"/>
  <c r="K152" s="1"/>
  <c r="L152" s="1"/>
  <c r="M152" s="1"/>
  <c r="I152"/>
  <c r="I155"/>
  <c r="O155"/>
  <c r="J155"/>
  <c r="K155" s="1"/>
  <c r="L155" s="1"/>
  <c r="M155" s="1"/>
  <c r="O156"/>
  <c r="J156"/>
  <c r="K156" s="1"/>
  <c r="L156" s="1"/>
  <c r="M156" s="1"/>
  <c r="I156"/>
  <c r="I159"/>
  <c r="O159"/>
  <c r="J159"/>
  <c r="K159" s="1"/>
  <c r="L159" s="1"/>
  <c r="M159" s="1"/>
  <c r="O160"/>
  <c r="J160"/>
  <c r="K160" s="1"/>
  <c r="L160" s="1"/>
  <c r="M160" s="1"/>
  <c r="I160"/>
  <c r="I165"/>
  <c r="O165"/>
  <c r="J165"/>
  <c r="K165" s="1"/>
  <c r="L165" s="1"/>
  <c r="M165" s="1"/>
  <c r="O166"/>
  <c r="J166"/>
  <c r="K166" s="1"/>
  <c r="L166" s="1"/>
  <c r="M166" s="1"/>
  <c r="I166"/>
  <c r="I183"/>
  <c r="O183"/>
  <c r="J183"/>
  <c r="K183" s="1"/>
  <c r="L183" s="1"/>
  <c r="M183" s="1"/>
  <c r="O184"/>
  <c r="J184"/>
  <c r="K184" s="1"/>
  <c r="L184" s="1"/>
  <c r="M184" s="1"/>
  <c r="I184"/>
  <c r="I187"/>
  <c r="O187"/>
  <c r="J187"/>
  <c r="K187" s="1"/>
  <c r="L187" s="1"/>
  <c r="M187" s="1"/>
  <c r="O188"/>
  <c r="J188"/>
  <c r="K188" s="1"/>
  <c r="L188" s="1"/>
  <c r="M188" s="1"/>
  <c r="I188"/>
  <c r="I191"/>
  <c r="O191"/>
  <c r="J191"/>
  <c r="K191" s="1"/>
  <c r="L191" s="1"/>
  <c r="M191" s="1"/>
  <c r="O192"/>
  <c r="J192"/>
  <c r="K192" s="1"/>
  <c r="L192" s="1"/>
  <c r="M192" s="1"/>
  <c r="I192"/>
  <c r="I195"/>
  <c r="O195"/>
  <c r="J195"/>
  <c r="K195" s="1"/>
  <c r="L195" s="1"/>
  <c r="M195" s="1"/>
  <c r="O196"/>
  <c r="J196"/>
  <c r="K196" s="1"/>
  <c r="L196" s="1"/>
  <c r="M196" s="1"/>
  <c r="I196"/>
  <c r="I199"/>
  <c r="O199"/>
  <c r="J199"/>
  <c r="K199" s="1"/>
  <c r="L199" s="1"/>
  <c r="M199" s="1"/>
  <c r="O200"/>
  <c r="J200"/>
  <c r="K200" s="1"/>
  <c r="L200" s="1"/>
  <c r="M200" s="1"/>
  <c r="I200"/>
  <c r="I203"/>
  <c r="O203"/>
  <c r="J203"/>
  <c r="K203" s="1"/>
  <c r="L203" s="1"/>
  <c r="M203" s="1"/>
  <c r="I26"/>
  <c r="J27"/>
  <c r="K27" s="1"/>
  <c r="L27" s="1"/>
  <c r="M27" s="1"/>
  <c r="I28"/>
  <c r="J29"/>
  <c r="K29" s="1"/>
  <c r="L29" s="1"/>
  <c r="M29" s="1"/>
  <c r="I30"/>
  <c r="J31"/>
  <c r="K31" s="1"/>
  <c r="L31" s="1"/>
  <c r="M31" s="1"/>
  <c r="I32"/>
  <c r="J33"/>
  <c r="K33" s="1"/>
  <c r="L33" s="1"/>
  <c r="M33" s="1"/>
  <c r="I34"/>
  <c r="F36"/>
  <c r="F38"/>
  <c r="F40"/>
  <c r="F42"/>
  <c r="F44"/>
  <c r="F46"/>
  <c r="F48"/>
  <c r="F50"/>
  <c r="F52"/>
  <c r="F54"/>
  <c r="F56"/>
  <c r="F58"/>
  <c r="F60"/>
  <c r="I61"/>
  <c r="F63"/>
  <c r="F65"/>
  <c r="F66"/>
  <c r="H66"/>
  <c r="O70"/>
  <c r="J70"/>
  <c r="K70" s="1"/>
  <c r="L70" s="1"/>
  <c r="M70" s="1"/>
  <c r="I70"/>
  <c r="O73"/>
  <c r="J73"/>
  <c r="K73" s="1"/>
  <c r="L73" s="1"/>
  <c r="M73" s="1"/>
  <c r="I73"/>
  <c r="O77"/>
  <c r="J77"/>
  <c r="K77" s="1"/>
  <c r="L77" s="1"/>
  <c r="M77" s="1"/>
  <c r="I77"/>
  <c r="O79"/>
  <c r="J79"/>
  <c r="K79" s="1"/>
  <c r="L79" s="1"/>
  <c r="M79" s="1"/>
  <c r="I79"/>
  <c r="O81"/>
  <c r="J81"/>
  <c r="K81" s="1"/>
  <c r="L81" s="1"/>
  <c r="M81" s="1"/>
  <c r="I81"/>
  <c r="O83"/>
  <c r="J83"/>
  <c r="K83" s="1"/>
  <c r="L83" s="1"/>
  <c r="M83" s="1"/>
  <c r="I83"/>
  <c r="O85"/>
  <c r="J85"/>
  <c r="K85" s="1"/>
  <c r="L85" s="1"/>
  <c r="M85" s="1"/>
  <c r="I85"/>
  <c r="O87"/>
  <c r="J87"/>
  <c r="K87" s="1"/>
  <c r="L87" s="1"/>
  <c r="M87" s="1"/>
  <c r="I87"/>
  <c r="O89"/>
  <c r="J89"/>
  <c r="K89" s="1"/>
  <c r="L89" s="1"/>
  <c r="M89" s="1"/>
  <c r="I89"/>
  <c r="O91"/>
  <c r="J91"/>
  <c r="K91" s="1"/>
  <c r="L91" s="1"/>
  <c r="M91" s="1"/>
  <c r="I91"/>
  <c r="O93"/>
  <c r="J93"/>
  <c r="K93" s="1"/>
  <c r="L93" s="1"/>
  <c r="M93" s="1"/>
  <c r="I93"/>
  <c r="O95"/>
  <c r="J95"/>
  <c r="K95" s="1"/>
  <c r="L95" s="1"/>
  <c r="M95" s="1"/>
  <c r="I95"/>
  <c r="O97"/>
  <c r="J97"/>
  <c r="K97" s="1"/>
  <c r="L97" s="1"/>
  <c r="M97" s="1"/>
  <c r="I97"/>
  <c r="O99"/>
  <c r="J99"/>
  <c r="K99" s="1"/>
  <c r="L99" s="1"/>
  <c r="M99" s="1"/>
  <c r="I99"/>
  <c r="O101"/>
  <c r="J101"/>
  <c r="K101" s="1"/>
  <c r="L101" s="1"/>
  <c r="M101" s="1"/>
  <c r="I101"/>
  <c r="O103"/>
  <c r="J103"/>
  <c r="K103" s="1"/>
  <c r="L103" s="1"/>
  <c r="M103" s="1"/>
  <c r="I103"/>
  <c r="O105"/>
  <c r="J105"/>
  <c r="K105" s="1"/>
  <c r="L105" s="1"/>
  <c r="M105" s="1"/>
  <c r="I105"/>
  <c r="O107"/>
  <c r="J107"/>
  <c r="K107" s="1"/>
  <c r="L107" s="1"/>
  <c r="M107" s="1"/>
  <c r="I107"/>
  <c r="O109"/>
  <c r="J109"/>
  <c r="K109" s="1"/>
  <c r="L109" s="1"/>
  <c r="M109" s="1"/>
  <c r="I109"/>
  <c r="O111"/>
  <c r="J111"/>
  <c r="K111" s="1"/>
  <c r="L111" s="1"/>
  <c r="M111" s="1"/>
  <c r="I111"/>
  <c r="O113"/>
  <c r="J113"/>
  <c r="K113" s="1"/>
  <c r="L113" s="1"/>
  <c r="M113" s="1"/>
  <c r="I113"/>
  <c r="O115"/>
  <c r="J115"/>
  <c r="K115" s="1"/>
  <c r="L115" s="1"/>
  <c r="M115" s="1"/>
  <c r="I115"/>
  <c r="O117"/>
  <c r="J117"/>
  <c r="K117" s="1"/>
  <c r="L117" s="1"/>
  <c r="M117" s="1"/>
  <c r="I117"/>
  <c r="O119"/>
  <c r="J119"/>
  <c r="K119" s="1"/>
  <c r="L119" s="1"/>
  <c r="M119" s="1"/>
  <c r="I119"/>
  <c r="O121"/>
  <c r="J121"/>
  <c r="K121" s="1"/>
  <c r="L121" s="1"/>
  <c r="M121" s="1"/>
  <c r="I121"/>
  <c r="O123"/>
  <c r="J123"/>
  <c r="K123" s="1"/>
  <c r="L123" s="1"/>
  <c r="M123" s="1"/>
  <c r="I123"/>
  <c r="O125"/>
  <c r="J125"/>
  <c r="K125" s="1"/>
  <c r="L125" s="1"/>
  <c r="M125" s="1"/>
  <c r="I125"/>
  <c r="O127"/>
  <c r="J127"/>
  <c r="K127" s="1"/>
  <c r="L127" s="1"/>
  <c r="M127" s="1"/>
  <c r="I127"/>
  <c r="I130"/>
  <c r="O130"/>
  <c r="J130"/>
  <c r="K130" s="1"/>
  <c r="L130" s="1"/>
  <c r="M130" s="1"/>
  <c r="O131"/>
  <c r="J131"/>
  <c r="K131" s="1"/>
  <c r="L131" s="1"/>
  <c r="M131" s="1"/>
  <c r="I131"/>
  <c r="O133"/>
  <c r="J133"/>
  <c r="K133" s="1"/>
  <c r="L133" s="1"/>
  <c r="M133" s="1"/>
  <c r="I133"/>
  <c r="O135"/>
  <c r="J135"/>
  <c r="K135" s="1"/>
  <c r="L135" s="1"/>
  <c r="M135" s="1"/>
  <c r="I135"/>
  <c r="O138"/>
  <c r="J138"/>
  <c r="K138" s="1"/>
  <c r="L138" s="1"/>
  <c r="M138" s="1"/>
  <c r="I138"/>
  <c r="I141"/>
  <c r="O141"/>
  <c r="J141"/>
  <c r="K141" s="1"/>
  <c r="L141" s="1"/>
  <c r="M141" s="1"/>
  <c r="O142"/>
  <c r="J142"/>
  <c r="K142" s="1"/>
  <c r="L142" s="1"/>
  <c r="M142" s="1"/>
  <c r="I142"/>
  <c r="I145"/>
  <c r="O145"/>
  <c r="J145"/>
  <c r="K145" s="1"/>
  <c r="L145" s="1"/>
  <c r="M145" s="1"/>
  <c r="O146"/>
  <c r="J146"/>
  <c r="K146" s="1"/>
  <c r="L146" s="1"/>
  <c r="M146" s="1"/>
  <c r="I146"/>
  <c r="I149"/>
  <c r="O149"/>
  <c r="J149"/>
  <c r="K149" s="1"/>
  <c r="L149" s="1"/>
  <c r="M149" s="1"/>
  <c r="O150"/>
  <c r="J150"/>
  <c r="K150" s="1"/>
  <c r="L150" s="1"/>
  <c r="M150" s="1"/>
  <c r="I150"/>
  <c r="I153"/>
  <c r="O153"/>
  <c r="J153"/>
  <c r="K153" s="1"/>
  <c r="L153" s="1"/>
  <c r="M153" s="1"/>
  <c r="O154"/>
  <c r="J154"/>
  <c r="K154" s="1"/>
  <c r="L154" s="1"/>
  <c r="M154" s="1"/>
  <c r="I154"/>
  <c r="I157"/>
  <c r="O157"/>
  <c r="J157"/>
  <c r="K157" s="1"/>
  <c r="L157" s="1"/>
  <c r="M157" s="1"/>
  <c r="O158"/>
  <c r="J158"/>
  <c r="K158" s="1"/>
  <c r="L158" s="1"/>
  <c r="M158" s="1"/>
  <c r="I158"/>
  <c r="I161"/>
  <c r="O161"/>
  <c r="J161"/>
  <c r="K161" s="1"/>
  <c r="L161" s="1"/>
  <c r="M161" s="1"/>
  <c r="O162"/>
  <c r="J162"/>
  <c r="K162" s="1"/>
  <c r="L162" s="1"/>
  <c r="M162" s="1"/>
  <c r="I162"/>
  <c r="O164"/>
  <c r="J164"/>
  <c r="K164" s="1"/>
  <c r="L164" s="1"/>
  <c r="M164" s="1"/>
  <c r="I164"/>
  <c r="I167"/>
  <c r="O167"/>
  <c r="J167"/>
  <c r="K167" s="1"/>
  <c r="L167" s="1"/>
  <c r="M167" s="1"/>
  <c r="O168"/>
  <c r="J168"/>
  <c r="K168" s="1"/>
  <c r="L168" s="1"/>
  <c r="M168" s="1"/>
  <c r="I168"/>
  <c r="O170"/>
  <c r="J170"/>
  <c r="K170" s="1"/>
  <c r="L170" s="1"/>
  <c r="M170" s="1"/>
  <c r="I170"/>
  <c r="O172"/>
  <c r="J172"/>
  <c r="K172" s="1"/>
  <c r="L172" s="1"/>
  <c r="M172" s="1"/>
  <c r="I172"/>
  <c r="O174"/>
  <c r="J174"/>
  <c r="K174" s="1"/>
  <c r="L174" s="1"/>
  <c r="M174" s="1"/>
  <c r="I174"/>
  <c r="O176"/>
  <c r="J176"/>
  <c r="K176" s="1"/>
  <c r="L176" s="1"/>
  <c r="M176" s="1"/>
  <c r="I176"/>
  <c r="O178"/>
  <c r="J178"/>
  <c r="K178" s="1"/>
  <c r="L178" s="1"/>
  <c r="M178" s="1"/>
  <c r="I178"/>
  <c r="O180"/>
  <c r="J180"/>
  <c r="K180" s="1"/>
  <c r="L180" s="1"/>
  <c r="M180" s="1"/>
  <c r="I180"/>
  <c r="I185"/>
  <c r="O185"/>
  <c r="J185"/>
  <c r="K185" s="1"/>
  <c r="L185" s="1"/>
  <c r="M185" s="1"/>
  <c r="O186"/>
  <c r="J186"/>
  <c r="K186" s="1"/>
  <c r="L186" s="1"/>
  <c r="M186" s="1"/>
  <c r="I186"/>
  <c r="I189"/>
  <c r="O189"/>
  <c r="J189"/>
  <c r="K189" s="1"/>
  <c r="L189" s="1"/>
  <c r="M189" s="1"/>
  <c r="O190"/>
  <c r="J190"/>
  <c r="K190" s="1"/>
  <c r="L190" s="1"/>
  <c r="M190" s="1"/>
  <c r="I190"/>
  <c r="I193"/>
  <c r="O193"/>
  <c r="J193"/>
  <c r="K193" s="1"/>
  <c r="L193" s="1"/>
  <c r="M193" s="1"/>
  <c r="O194"/>
  <c r="J194"/>
  <c r="K194" s="1"/>
  <c r="L194" s="1"/>
  <c r="M194" s="1"/>
  <c r="I194"/>
  <c r="I197"/>
  <c r="O197"/>
  <c r="J197"/>
  <c r="K197" s="1"/>
  <c r="L197" s="1"/>
  <c r="M197" s="1"/>
  <c r="O198"/>
  <c r="J198"/>
  <c r="K198" s="1"/>
  <c r="L198" s="1"/>
  <c r="M198" s="1"/>
  <c r="I198"/>
  <c r="I201"/>
  <c r="O201"/>
  <c r="J201"/>
  <c r="K201" s="1"/>
  <c r="L201" s="1"/>
  <c r="M201" s="1"/>
  <c r="O202"/>
  <c r="J202"/>
  <c r="K202" s="1"/>
  <c r="L202" s="1"/>
  <c r="M202" s="1"/>
  <c r="I202"/>
  <c r="J26"/>
  <c r="K26" s="1"/>
  <c r="L26" s="1"/>
  <c r="M26" s="1"/>
  <c r="J28"/>
  <c r="K28" s="1"/>
  <c r="L28" s="1"/>
  <c r="M28" s="1"/>
  <c r="J30"/>
  <c r="K30" s="1"/>
  <c r="L30" s="1"/>
  <c r="M30" s="1"/>
  <c r="J32"/>
  <c r="K32" s="1"/>
  <c r="L32" s="1"/>
  <c r="M32" s="1"/>
  <c r="J34"/>
  <c r="K34" s="1"/>
  <c r="L34" s="1"/>
  <c r="M34" s="1"/>
  <c r="J61"/>
  <c r="K61" s="1"/>
  <c r="L61" s="1"/>
  <c r="M61" s="1"/>
  <c r="O208"/>
  <c r="J208"/>
  <c r="K208" s="1"/>
  <c r="L208" s="1"/>
  <c r="M208" s="1"/>
  <c r="I208"/>
  <c r="O212"/>
  <c r="J212"/>
  <c r="K212" s="1"/>
  <c r="L212" s="1"/>
  <c r="M212" s="1"/>
  <c r="I212"/>
  <c r="O216"/>
  <c r="J216"/>
  <c r="K216" s="1"/>
  <c r="L216" s="1"/>
  <c r="M216" s="1"/>
  <c r="I216"/>
  <c r="O220"/>
  <c r="J220"/>
  <c r="K220" s="1"/>
  <c r="L220" s="1"/>
  <c r="M220" s="1"/>
  <c r="I220"/>
  <c r="O224"/>
  <c r="J224"/>
  <c r="K224" s="1"/>
  <c r="L224" s="1"/>
  <c r="M224" s="1"/>
  <c r="I224"/>
  <c r="O226"/>
  <c r="J226"/>
  <c r="K226" s="1"/>
  <c r="L226" s="1"/>
  <c r="M226" s="1"/>
  <c r="I226"/>
  <c r="O229"/>
  <c r="J229"/>
  <c r="K229" s="1"/>
  <c r="L229" s="1"/>
  <c r="M229" s="1"/>
  <c r="I229"/>
  <c r="O233"/>
  <c r="J233"/>
  <c r="K233" s="1"/>
  <c r="L233" s="1"/>
  <c r="M233" s="1"/>
  <c r="I233"/>
  <c r="O238"/>
  <c r="J238"/>
  <c r="K238" s="1"/>
  <c r="L238" s="1"/>
  <c r="M238" s="1"/>
  <c r="I238"/>
  <c r="O248"/>
  <c r="J248"/>
  <c r="K248" s="1"/>
  <c r="L248" s="1"/>
  <c r="M248" s="1"/>
  <c r="I248"/>
  <c r="O252"/>
  <c r="J252"/>
  <c r="K252" s="1"/>
  <c r="L252" s="1"/>
  <c r="M252" s="1"/>
  <c r="I252"/>
  <c r="O254"/>
  <c r="J254"/>
  <c r="K254" s="1"/>
  <c r="L254" s="1"/>
  <c r="M254" s="1"/>
  <c r="I254"/>
  <c r="O258"/>
  <c r="J258"/>
  <c r="K258" s="1"/>
  <c r="L258" s="1"/>
  <c r="M258" s="1"/>
  <c r="I258"/>
  <c r="O260"/>
  <c r="J260"/>
  <c r="K260" s="1"/>
  <c r="L260" s="1"/>
  <c r="M260" s="1"/>
  <c r="I260"/>
  <c r="O262"/>
  <c r="J262"/>
  <c r="K262" s="1"/>
  <c r="L262" s="1"/>
  <c r="M262" s="1"/>
  <c r="I262"/>
  <c r="O264"/>
  <c r="J264"/>
  <c r="K264" s="1"/>
  <c r="L264" s="1"/>
  <c r="M264" s="1"/>
  <c r="I264"/>
  <c r="O266"/>
  <c r="J266"/>
  <c r="K266" s="1"/>
  <c r="L266" s="1"/>
  <c r="M266" s="1"/>
  <c r="I266"/>
  <c r="O268"/>
  <c r="J268"/>
  <c r="K268" s="1"/>
  <c r="L268" s="1"/>
  <c r="M268" s="1"/>
  <c r="I268"/>
  <c r="O270"/>
  <c r="J270"/>
  <c r="K270" s="1"/>
  <c r="L270" s="1"/>
  <c r="M270" s="1"/>
  <c r="I270"/>
  <c r="O272"/>
  <c r="J272"/>
  <c r="K272" s="1"/>
  <c r="L272" s="1"/>
  <c r="M272" s="1"/>
  <c r="I272"/>
  <c r="O274"/>
  <c r="J274"/>
  <c r="K274" s="1"/>
  <c r="L274" s="1"/>
  <c r="M274" s="1"/>
  <c r="I274"/>
  <c r="O276"/>
  <c r="J276"/>
  <c r="K276" s="1"/>
  <c r="L276" s="1"/>
  <c r="M276" s="1"/>
  <c r="I276"/>
  <c r="I279"/>
  <c r="O279"/>
  <c r="J279"/>
  <c r="K279" s="1"/>
  <c r="L279" s="1"/>
  <c r="M279" s="1"/>
  <c r="O280"/>
  <c r="J280"/>
  <c r="K280" s="1"/>
  <c r="L280" s="1"/>
  <c r="M280" s="1"/>
  <c r="I280"/>
  <c r="I283"/>
  <c r="O283"/>
  <c r="J283"/>
  <c r="K283" s="1"/>
  <c r="L283" s="1"/>
  <c r="M283" s="1"/>
  <c r="O284"/>
  <c r="J284"/>
  <c r="K284" s="1"/>
  <c r="L284" s="1"/>
  <c r="M284" s="1"/>
  <c r="I284"/>
  <c r="I287"/>
  <c r="O287"/>
  <c r="J287"/>
  <c r="K287" s="1"/>
  <c r="L287" s="1"/>
  <c r="M287" s="1"/>
  <c r="O288"/>
  <c r="J288"/>
  <c r="K288" s="1"/>
  <c r="L288" s="1"/>
  <c r="M288" s="1"/>
  <c r="I288"/>
  <c r="I291"/>
  <c r="O291"/>
  <c r="J291"/>
  <c r="K291" s="1"/>
  <c r="L291" s="1"/>
  <c r="M291" s="1"/>
  <c r="O292"/>
  <c r="J292"/>
  <c r="K292" s="1"/>
  <c r="L292" s="1"/>
  <c r="M292" s="1"/>
  <c r="I292"/>
  <c r="I295"/>
  <c r="O295"/>
  <c r="J295"/>
  <c r="K295" s="1"/>
  <c r="L295" s="1"/>
  <c r="M295" s="1"/>
  <c r="O296"/>
  <c r="J296"/>
  <c r="K296" s="1"/>
  <c r="L296" s="1"/>
  <c r="M296" s="1"/>
  <c r="I296"/>
  <c r="I299"/>
  <c r="O299"/>
  <c r="J299"/>
  <c r="K299" s="1"/>
  <c r="L299" s="1"/>
  <c r="M299" s="1"/>
  <c r="O300"/>
  <c r="J300"/>
  <c r="K300" s="1"/>
  <c r="L300" s="1"/>
  <c r="M300" s="1"/>
  <c r="I300"/>
  <c r="I303"/>
  <c r="O303"/>
  <c r="J303"/>
  <c r="K303" s="1"/>
  <c r="L303" s="1"/>
  <c r="M303" s="1"/>
  <c r="O304"/>
  <c r="J304"/>
  <c r="K304" s="1"/>
  <c r="L304" s="1"/>
  <c r="M304" s="1"/>
  <c r="I304"/>
  <c r="I307"/>
  <c r="O307"/>
  <c r="J307"/>
  <c r="K307" s="1"/>
  <c r="L307" s="1"/>
  <c r="M307" s="1"/>
  <c r="O308"/>
  <c r="J308"/>
  <c r="K308" s="1"/>
  <c r="L308" s="1"/>
  <c r="M308" s="1"/>
  <c r="I308"/>
  <c r="I311"/>
  <c r="O311"/>
  <c r="J311"/>
  <c r="K311" s="1"/>
  <c r="L311" s="1"/>
  <c r="M311" s="1"/>
  <c r="O312"/>
  <c r="J312"/>
  <c r="K312" s="1"/>
  <c r="L312" s="1"/>
  <c r="M312" s="1"/>
  <c r="I312"/>
  <c r="I315"/>
  <c r="O315"/>
  <c r="J315"/>
  <c r="K315" s="1"/>
  <c r="L315" s="1"/>
  <c r="M315" s="1"/>
  <c r="O316"/>
  <c r="J316"/>
  <c r="K316" s="1"/>
  <c r="L316" s="1"/>
  <c r="M316" s="1"/>
  <c r="I316"/>
  <c r="I320"/>
  <c r="O320"/>
  <c r="J320"/>
  <c r="K320" s="1"/>
  <c r="L320" s="1"/>
  <c r="M320" s="1"/>
  <c r="I330"/>
  <c r="O330"/>
  <c r="J330"/>
  <c r="K330" s="1"/>
  <c r="L330" s="1"/>
  <c r="M330" s="1"/>
  <c r="O331"/>
  <c r="J331"/>
  <c r="K331" s="1"/>
  <c r="L331" s="1"/>
  <c r="M331" s="1"/>
  <c r="I331"/>
  <c r="H68"/>
  <c r="H72"/>
  <c r="H74"/>
  <c r="H76"/>
  <c r="F77"/>
  <c r="H78"/>
  <c r="F79"/>
  <c r="H80"/>
  <c r="F81"/>
  <c r="H82"/>
  <c r="F83"/>
  <c r="H84"/>
  <c r="F85"/>
  <c r="H86"/>
  <c r="F87"/>
  <c r="H88"/>
  <c r="F89"/>
  <c r="H90"/>
  <c r="F91"/>
  <c r="H92"/>
  <c r="F93"/>
  <c r="H94"/>
  <c r="F95"/>
  <c r="H96"/>
  <c r="F97"/>
  <c r="H98"/>
  <c r="F99"/>
  <c r="H100"/>
  <c r="F101"/>
  <c r="H102"/>
  <c r="F103"/>
  <c r="H104"/>
  <c r="F105"/>
  <c r="H106"/>
  <c r="F107"/>
  <c r="H108"/>
  <c r="F109"/>
  <c r="H110"/>
  <c r="F111"/>
  <c r="H112"/>
  <c r="F113"/>
  <c r="H114"/>
  <c r="F115"/>
  <c r="H116"/>
  <c r="F117"/>
  <c r="H118"/>
  <c r="F119"/>
  <c r="H120"/>
  <c r="F121"/>
  <c r="H122"/>
  <c r="F123"/>
  <c r="H124"/>
  <c r="F125"/>
  <c r="H126"/>
  <c r="F127"/>
  <c r="F129"/>
  <c r="F131"/>
  <c r="H132"/>
  <c r="F133"/>
  <c r="H134"/>
  <c r="F135"/>
  <c r="F138"/>
  <c r="F140"/>
  <c r="F142"/>
  <c r="F144"/>
  <c r="F146"/>
  <c r="F148"/>
  <c r="F150"/>
  <c r="F152"/>
  <c r="F154"/>
  <c r="F156"/>
  <c r="F158"/>
  <c r="F160"/>
  <c r="F162"/>
  <c r="H163"/>
  <c r="F164"/>
  <c r="F166"/>
  <c r="F168"/>
  <c r="H169"/>
  <c r="F170"/>
  <c r="H171"/>
  <c r="F172"/>
  <c r="H173"/>
  <c r="F174"/>
  <c r="H175"/>
  <c r="F176"/>
  <c r="H177"/>
  <c r="F178"/>
  <c r="H179"/>
  <c r="F180"/>
  <c r="F184"/>
  <c r="F186"/>
  <c r="F188"/>
  <c r="F190"/>
  <c r="F192"/>
  <c r="F194"/>
  <c r="F196"/>
  <c r="F198"/>
  <c r="F200"/>
  <c r="F202"/>
  <c r="O204"/>
  <c r="J204"/>
  <c r="K204" s="1"/>
  <c r="L204" s="1"/>
  <c r="M204" s="1"/>
  <c r="O206"/>
  <c r="J206"/>
  <c r="K206" s="1"/>
  <c r="L206" s="1"/>
  <c r="M206" s="1"/>
  <c r="I206"/>
  <c r="O210"/>
  <c r="J210"/>
  <c r="K210" s="1"/>
  <c r="L210" s="1"/>
  <c r="M210" s="1"/>
  <c r="I210"/>
  <c r="O218"/>
  <c r="J218"/>
  <c r="K218" s="1"/>
  <c r="L218" s="1"/>
  <c r="M218" s="1"/>
  <c r="I218"/>
  <c r="O222"/>
  <c r="J222"/>
  <c r="K222" s="1"/>
  <c r="L222" s="1"/>
  <c r="M222" s="1"/>
  <c r="I222"/>
  <c r="O231"/>
  <c r="J231"/>
  <c r="K231" s="1"/>
  <c r="L231" s="1"/>
  <c r="M231" s="1"/>
  <c r="I231"/>
  <c r="O236"/>
  <c r="J236"/>
  <c r="K236" s="1"/>
  <c r="L236" s="1"/>
  <c r="M236" s="1"/>
  <c r="I236"/>
  <c r="O240"/>
  <c r="J240"/>
  <c r="K240" s="1"/>
  <c r="L240" s="1"/>
  <c r="M240" s="1"/>
  <c r="I240"/>
  <c r="O242"/>
  <c r="J242"/>
  <c r="K242" s="1"/>
  <c r="L242" s="1"/>
  <c r="M242" s="1"/>
  <c r="I242"/>
  <c r="O244"/>
  <c r="J244"/>
  <c r="K244" s="1"/>
  <c r="L244" s="1"/>
  <c r="M244" s="1"/>
  <c r="I244"/>
  <c r="O246"/>
  <c r="J246"/>
  <c r="K246" s="1"/>
  <c r="L246" s="1"/>
  <c r="M246" s="1"/>
  <c r="I246"/>
  <c r="O250"/>
  <c r="J250"/>
  <c r="K250" s="1"/>
  <c r="L250" s="1"/>
  <c r="M250" s="1"/>
  <c r="I250"/>
  <c r="I277"/>
  <c r="O277"/>
  <c r="J277"/>
  <c r="K277" s="1"/>
  <c r="L277" s="1"/>
  <c r="M277" s="1"/>
  <c r="O278"/>
  <c r="J278"/>
  <c r="K278" s="1"/>
  <c r="L278" s="1"/>
  <c r="M278" s="1"/>
  <c r="I278"/>
  <c r="I281"/>
  <c r="O281"/>
  <c r="J281"/>
  <c r="K281" s="1"/>
  <c r="L281" s="1"/>
  <c r="M281" s="1"/>
  <c r="O282"/>
  <c r="J282"/>
  <c r="K282" s="1"/>
  <c r="L282" s="1"/>
  <c r="M282" s="1"/>
  <c r="I282"/>
  <c r="I285"/>
  <c r="O285"/>
  <c r="J285"/>
  <c r="K285" s="1"/>
  <c r="L285" s="1"/>
  <c r="M285" s="1"/>
  <c r="O286"/>
  <c r="J286"/>
  <c r="K286" s="1"/>
  <c r="L286" s="1"/>
  <c r="M286" s="1"/>
  <c r="I286"/>
  <c r="I289"/>
  <c r="O289"/>
  <c r="J289"/>
  <c r="K289" s="1"/>
  <c r="L289" s="1"/>
  <c r="M289" s="1"/>
  <c r="O290"/>
  <c r="J290"/>
  <c r="K290" s="1"/>
  <c r="L290" s="1"/>
  <c r="M290" s="1"/>
  <c r="I290"/>
  <c r="I293"/>
  <c r="O293"/>
  <c r="J293"/>
  <c r="K293" s="1"/>
  <c r="L293" s="1"/>
  <c r="M293" s="1"/>
  <c r="O294"/>
  <c r="J294"/>
  <c r="K294" s="1"/>
  <c r="L294" s="1"/>
  <c r="M294" s="1"/>
  <c r="I294"/>
  <c r="I297"/>
  <c r="O297"/>
  <c r="J297"/>
  <c r="K297" s="1"/>
  <c r="L297" s="1"/>
  <c r="M297" s="1"/>
  <c r="O298"/>
  <c r="J298"/>
  <c r="K298" s="1"/>
  <c r="L298" s="1"/>
  <c r="M298" s="1"/>
  <c r="I298"/>
  <c r="I301"/>
  <c r="O301"/>
  <c r="J301"/>
  <c r="K301" s="1"/>
  <c r="L301" s="1"/>
  <c r="M301" s="1"/>
  <c r="O302"/>
  <c r="J302"/>
  <c r="K302" s="1"/>
  <c r="L302" s="1"/>
  <c r="M302" s="1"/>
  <c r="I302"/>
  <c r="I305"/>
  <c r="O305"/>
  <c r="J305"/>
  <c r="K305" s="1"/>
  <c r="L305" s="1"/>
  <c r="M305" s="1"/>
  <c r="O306"/>
  <c r="J306"/>
  <c r="K306" s="1"/>
  <c r="L306" s="1"/>
  <c r="M306" s="1"/>
  <c r="I306"/>
  <c r="I309"/>
  <c r="O309"/>
  <c r="J309"/>
  <c r="K309" s="1"/>
  <c r="L309" s="1"/>
  <c r="M309" s="1"/>
  <c r="O310"/>
  <c r="J310"/>
  <c r="K310" s="1"/>
  <c r="L310" s="1"/>
  <c r="M310" s="1"/>
  <c r="I310"/>
  <c r="I313"/>
  <c r="O313"/>
  <c r="J313"/>
  <c r="K313" s="1"/>
  <c r="L313" s="1"/>
  <c r="M313" s="1"/>
  <c r="O314"/>
  <c r="J314"/>
  <c r="K314" s="1"/>
  <c r="L314" s="1"/>
  <c r="M314" s="1"/>
  <c r="I314"/>
  <c r="I317"/>
  <c r="O317"/>
  <c r="J317"/>
  <c r="K317" s="1"/>
  <c r="L317" s="1"/>
  <c r="M317" s="1"/>
  <c r="O318"/>
  <c r="J318"/>
  <c r="K318" s="1"/>
  <c r="L318" s="1"/>
  <c r="M318" s="1"/>
  <c r="I318"/>
  <c r="O322"/>
  <c r="J322"/>
  <c r="K322" s="1"/>
  <c r="L322" s="1"/>
  <c r="M322" s="1"/>
  <c r="I322"/>
  <c r="O329"/>
  <c r="J329"/>
  <c r="K329" s="1"/>
  <c r="L329" s="1"/>
  <c r="M329" s="1"/>
  <c r="I329"/>
  <c r="I333"/>
  <c r="O333"/>
  <c r="J333"/>
  <c r="K333" s="1"/>
  <c r="L333" s="1"/>
  <c r="M333" s="1"/>
  <c r="O334"/>
  <c r="J334"/>
  <c r="K334" s="1"/>
  <c r="L334" s="1"/>
  <c r="M334" s="1"/>
  <c r="I334"/>
  <c r="I339"/>
  <c r="O339"/>
  <c r="J339"/>
  <c r="K339" s="1"/>
  <c r="L339" s="1"/>
  <c r="M339" s="1"/>
  <c r="J71"/>
  <c r="K71" s="1"/>
  <c r="L71" s="1"/>
  <c r="M71" s="1"/>
  <c r="I204"/>
  <c r="H205"/>
  <c r="H207"/>
  <c r="H209"/>
  <c r="H211"/>
  <c r="H213"/>
  <c r="H215"/>
  <c r="H217"/>
  <c r="H219"/>
  <c r="H221"/>
  <c r="H223"/>
  <c r="F224"/>
  <c r="F226"/>
  <c r="H227"/>
  <c r="H230"/>
  <c r="H232"/>
  <c r="H234"/>
  <c r="J235"/>
  <c r="K235" s="1"/>
  <c r="L235" s="1"/>
  <c r="M235" s="1"/>
  <c r="O235"/>
  <c r="H237"/>
  <c r="H239"/>
  <c r="F240"/>
  <c r="H241"/>
  <c r="F242"/>
  <c r="H243"/>
  <c r="F244"/>
  <c r="H245"/>
  <c r="H247"/>
  <c r="H249"/>
  <c r="H251"/>
  <c r="F252"/>
  <c r="H253"/>
  <c r="F254"/>
  <c r="H255"/>
  <c r="H257"/>
  <c r="F258"/>
  <c r="H259"/>
  <c r="F260"/>
  <c r="H261"/>
  <c r="F262"/>
  <c r="H263"/>
  <c r="F264"/>
  <c r="H265"/>
  <c r="F266"/>
  <c r="H267"/>
  <c r="F268"/>
  <c r="H269"/>
  <c r="F270"/>
  <c r="H271"/>
  <c r="F272"/>
  <c r="H273"/>
  <c r="F274"/>
  <c r="H275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J321"/>
  <c r="K321" s="1"/>
  <c r="L321" s="1"/>
  <c r="M321" s="1"/>
  <c r="F322"/>
  <c r="I323"/>
  <c r="I324"/>
  <c r="I325"/>
  <c r="I326"/>
  <c r="J327"/>
  <c r="K327" s="1"/>
  <c r="L327" s="1"/>
  <c r="M327" s="1"/>
  <c r="F329"/>
  <c r="F331"/>
  <c r="I332"/>
  <c r="F334"/>
  <c r="I336"/>
  <c r="I337"/>
  <c r="I338"/>
  <c r="I340"/>
  <c r="J341"/>
  <c r="K341" s="1"/>
  <c r="L341" s="1"/>
  <c r="M341" s="1"/>
  <c r="I342"/>
  <c r="J344"/>
  <c r="K344" s="1"/>
  <c r="L344" s="1"/>
  <c r="M344" s="1"/>
  <c r="J347"/>
  <c r="K347" s="1"/>
  <c r="L347" s="1"/>
  <c r="M347" s="1"/>
  <c r="O347"/>
  <c r="J324"/>
  <c r="K324" s="1"/>
  <c r="L324" s="1"/>
  <c r="M324" s="1"/>
  <c r="J325"/>
  <c r="K325" s="1"/>
  <c r="L325" s="1"/>
  <c r="M325" s="1"/>
  <c r="J326"/>
  <c r="K326" s="1"/>
  <c r="L326" s="1"/>
  <c r="M326" s="1"/>
  <c r="J332"/>
  <c r="K332" s="1"/>
  <c r="L332" s="1"/>
  <c r="M332" s="1"/>
  <c r="J337"/>
  <c r="K337" s="1"/>
  <c r="L337" s="1"/>
  <c r="M337" s="1"/>
  <c r="J338"/>
  <c r="K338" s="1"/>
  <c r="L338" s="1"/>
  <c r="M338" s="1"/>
  <c r="J340"/>
  <c r="K340" s="1"/>
  <c r="L340" s="1"/>
  <c r="M340" s="1"/>
  <c r="J342"/>
  <c r="K342" s="1"/>
  <c r="L342" s="1"/>
  <c r="M342" s="1"/>
  <c r="J346"/>
  <c r="K346" s="1"/>
  <c r="L346" s="1"/>
  <c r="M346" s="1"/>
  <c r="J350"/>
  <c r="K350" s="1"/>
  <c r="L350" s="1"/>
  <c r="M350" s="1"/>
  <c r="I351"/>
  <c r="O351"/>
  <c r="I352"/>
  <c r="J355"/>
  <c r="K355" s="1"/>
  <c r="L355" s="1"/>
  <c r="M355" s="1"/>
  <c r="I356"/>
  <c r="J357"/>
  <c r="K357" s="1"/>
  <c r="L357" s="1"/>
  <c r="M357" s="1"/>
  <c r="I358"/>
  <c r="J359"/>
  <c r="K359" s="1"/>
  <c r="L359" s="1"/>
  <c r="M359" s="1"/>
  <c r="I360"/>
  <c r="J361"/>
  <c r="K361" s="1"/>
  <c r="L361" s="1"/>
  <c r="M361" s="1"/>
  <c r="I362"/>
  <c r="J363"/>
  <c r="K363" s="1"/>
  <c r="L363" s="1"/>
  <c r="M363" s="1"/>
  <c r="I364"/>
  <c r="J366"/>
  <c r="K366" s="1"/>
  <c r="L366" s="1"/>
  <c r="M366" s="1"/>
  <c r="I367"/>
  <c r="J368"/>
  <c r="K368" s="1"/>
  <c r="L368" s="1"/>
  <c r="M368" s="1"/>
  <c r="I369"/>
  <c r="J370"/>
  <c r="K370" s="1"/>
  <c r="L370" s="1"/>
  <c r="M370" s="1"/>
  <c r="I371"/>
  <c r="J372"/>
  <c r="K372" s="1"/>
  <c r="L372" s="1"/>
  <c r="M372" s="1"/>
  <c r="I373"/>
  <c r="J374"/>
  <c r="K374" s="1"/>
  <c r="L374" s="1"/>
  <c r="M374" s="1"/>
  <c r="I375"/>
  <c r="I377"/>
  <c r="I380"/>
  <c r="J381"/>
  <c r="K381" s="1"/>
  <c r="L381" s="1"/>
  <c r="M381" s="1"/>
  <c r="I382"/>
  <c r="J383"/>
  <c r="K383" s="1"/>
  <c r="L383" s="1"/>
  <c r="M383" s="1"/>
  <c r="I384"/>
  <c r="J385"/>
  <c r="K385" s="1"/>
  <c r="L385" s="1"/>
  <c r="M385" s="1"/>
  <c r="I386"/>
  <c r="J387"/>
  <c r="K387" s="1"/>
  <c r="L387" s="1"/>
  <c r="M387" s="1"/>
  <c r="I388"/>
  <c r="J389"/>
  <c r="K389" s="1"/>
  <c r="L389" s="1"/>
  <c r="M389" s="1"/>
  <c r="I390"/>
  <c r="J391"/>
  <c r="K391" s="1"/>
  <c r="L391" s="1"/>
  <c r="M391" s="1"/>
  <c r="I392"/>
  <c r="J393"/>
  <c r="K393" s="1"/>
  <c r="L393" s="1"/>
  <c r="M393" s="1"/>
  <c r="I394"/>
  <c r="J395"/>
  <c r="K395" s="1"/>
  <c r="L395" s="1"/>
  <c r="M395" s="1"/>
  <c r="I396"/>
  <c r="J397"/>
  <c r="K397" s="1"/>
  <c r="L397" s="1"/>
  <c r="M397" s="1"/>
  <c r="I398"/>
  <c r="J399"/>
  <c r="K399" s="1"/>
  <c r="L399" s="1"/>
  <c r="M399" s="1"/>
  <c r="I400"/>
  <c r="J401"/>
  <c r="K401" s="1"/>
  <c r="L401" s="1"/>
  <c r="M401" s="1"/>
  <c r="I402"/>
  <c r="J403"/>
  <c r="K403" s="1"/>
  <c r="L403" s="1"/>
  <c r="M403" s="1"/>
  <c r="I404"/>
  <c r="J405"/>
  <c r="K405" s="1"/>
  <c r="L405" s="1"/>
  <c r="M405" s="1"/>
  <c r="I406"/>
  <c r="J407"/>
  <c r="K407" s="1"/>
  <c r="L407" s="1"/>
  <c r="M407" s="1"/>
  <c r="I408"/>
  <c r="J409"/>
  <c r="K409" s="1"/>
  <c r="L409" s="1"/>
  <c r="M409" s="1"/>
  <c r="I410"/>
  <c r="J411"/>
  <c r="K411" s="1"/>
  <c r="L411" s="1"/>
  <c r="M411" s="1"/>
  <c r="I412"/>
  <c r="J413"/>
  <c r="K413" s="1"/>
  <c r="L413" s="1"/>
  <c r="M413" s="1"/>
  <c r="I414"/>
  <c r="J415"/>
  <c r="K415" s="1"/>
  <c r="L415" s="1"/>
  <c r="M415" s="1"/>
  <c r="I416"/>
  <c r="J417"/>
  <c r="K417" s="1"/>
  <c r="L417" s="1"/>
  <c r="M417" s="1"/>
  <c r="I418"/>
  <c r="J419"/>
  <c r="K419" s="1"/>
  <c r="L419" s="1"/>
  <c r="M419" s="1"/>
  <c r="I420"/>
  <c r="J421"/>
  <c r="K421" s="1"/>
  <c r="L421" s="1"/>
  <c r="M421" s="1"/>
  <c r="I422"/>
  <c r="J423"/>
  <c r="K423" s="1"/>
  <c r="L423" s="1"/>
  <c r="M423" s="1"/>
  <c r="I424"/>
  <c r="J425"/>
  <c r="K425" s="1"/>
  <c r="L425" s="1"/>
  <c r="M425" s="1"/>
  <c r="I426"/>
  <c r="J427"/>
  <c r="K427" s="1"/>
  <c r="L427" s="1"/>
  <c r="M427" s="1"/>
  <c r="I428"/>
  <c r="J429"/>
  <c r="K429" s="1"/>
  <c r="L429" s="1"/>
  <c r="M429" s="1"/>
  <c r="I430"/>
  <c r="J431"/>
  <c r="K431" s="1"/>
  <c r="L431" s="1"/>
  <c r="M431" s="1"/>
  <c r="I432"/>
  <c r="J352"/>
  <c r="K352" s="1"/>
  <c r="L352" s="1"/>
  <c r="M352" s="1"/>
  <c r="J356"/>
  <c r="K356" s="1"/>
  <c r="L356" s="1"/>
  <c r="M356" s="1"/>
  <c r="J358"/>
  <c r="K358" s="1"/>
  <c r="L358" s="1"/>
  <c r="M358" s="1"/>
  <c r="J360"/>
  <c r="K360" s="1"/>
  <c r="L360" s="1"/>
  <c r="M360" s="1"/>
  <c r="J362"/>
  <c r="K362" s="1"/>
  <c r="L362" s="1"/>
  <c r="M362" s="1"/>
  <c r="J364"/>
  <c r="K364" s="1"/>
  <c r="L364" s="1"/>
  <c r="M364" s="1"/>
  <c r="J367"/>
  <c r="K367" s="1"/>
  <c r="L367" s="1"/>
  <c r="M367" s="1"/>
  <c r="J369"/>
  <c r="K369" s="1"/>
  <c r="L369" s="1"/>
  <c r="M369" s="1"/>
  <c r="J371"/>
  <c r="K371" s="1"/>
  <c r="L371" s="1"/>
  <c r="M371" s="1"/>
  <c r="J373"/>
  <c r="K373" s="1"/>
  <c r="L373" s="1"/>
  <c r="M373" s="1"/>
  <c r="J375"/>
  <c r="K375" s="1"/>
  <c r="L375" s="1"/>
  <c r="M375" s="1"/>
  <c r="J380"/>
  <c r="K380" s="1"/>
  <c r="L380" s="1"/>
  <c r="M380" s="1"/>
  <c r="J382"/>
  <c r="K382" s="1"/>
  <c r="L382" s="1"/>
  <c r="M382" s="1"/>
  <c r="J384"/>
  <c r="K384" s="1"/>
  <c r="L384" s="1"/>
  <c r="M384" s="1"/>
  <c r="J386"/>
  <c r="K386" s="1"/>
  <c r="L386" s="1"/>
  <c r="M386" s="1"/>
  <c r="J388"/>
  <c r="K388" s="1"/>
  <c r="L388" s="1"/>
  <c r="M388" s="1"/>
  <c r="J390"/>
  <c r="K390" s="1"/>
  <c r="L390" s="1"/>
  <c r="M390" s="1"/>
  <c r="J392"/>
  <c r="K392" s="1"/>
  <c r="L392" s="1"/>
  <c r="M392" s="1"/>
  <c r="J394"/>
  <c r="K394" s="1"/>
  <c r="L394" s="1"/>
  <c r="M394" s="1"/>
  <c r="J396"/>
  <c r="K396" s="1"/>
  <c r="L396" s="1"/>
  <c r="M396" s="1"/>
  <c r="J398"/>
  <c r="K398" s="1"/>
  <c r="L398" s="1"/>
  <c r="M398" s="1"/>
  <c r="J400"/>
  <c r="K400" s="1"/>
  <c r="L400" s="1"/>
  <c r="M400" s="1"/>
  <c r="J402"/>
  <c r="K402" s="1"/>
  <c r="L402" s="1"/>
  <c r="M402" s="1"/>
  <c r="J404"/>
  <c r="K404" s="1"/>
  <c r="L404" s="1"/>
  <c r="M404" s="1"/>
  <c r="J406"/>
  <c r="K406" s="1"/>
  <c r="L406" s="1"/>
  <c r="M406" s="1"/>
  <c r="J408"/>
  <c r="K408" s="1"/>
  <c r="L408" s="1"/>
  <c r="M408" s="1"/>
  <c r="J410"/>
  <c r="K410" s="1"/>
  <c r="L410" s="1"/>
  <c r="M410" s="1"/>
  <c r="J412"/>
  <c r="K412" s="1"/>
  <c r="L412" s="1"/>
  <c r="M412" s="1"/>
  <c r="J414"/>
  <c r="K414" s="1"/>
  <c r="L414" s="1"/>
  <c r="M414" s="1"/>
  <c r="J416"/>
  <c r="K416" s="1"/>
  <c r="L416" s="1"/>
  <c r="M416" s="1"/>
  <c r="J418"/>
  <c r="K418" s="1"/>
  <c r="L418" s="1"/>
  <c r="M418" s="1"/>
  <c r="J420"/>
  <c r="K420" s="1"/>
  <c r="L420" s="1"/>
  <c r="M420" s="1"/>
  <c r="J422"/>
  <c r="K422" s="1"/>
  <c r="L422" s="1"/>
  <c r="M422" s="1"/>
  <c r="J424"/>
  <c r="K424" s="1"/>
  <c r="L424" s="1"/>
  <c r="M424" s="1"/>
  <c r="J426"/>
  <c r="K426" s="1"/>
  <c r="L426" s="1"/>
  <c r="M426" s="1"/>
  <c r="J428"/>
  <c r="K428" s="1"/>
  <c r="L428" s="1"/>
  <c r="M428" s="1"/>
  <c r="J430"/>
  <c r="K430" s="1"/>
  <c r="L430" s="1"/>
  <c r="M430" s="1"/>
  <c r="J432"/>
  <c r="K432" s="1"/>
  <c r="L432" s="1"/>
  <c r="M432" s="1"/>
  <c r="J433"/>
  <c r="K433" s="1"/>
  <c r="L433" s="1"/>
  <c r="M433" s="1"/>
  <c r="O433"/>
  <c r="J435"/>
  <c r="K435" s="1"/>
  <c r="L435" s="1"/>
  <c r="M435" s="1"/>
  <c r="O435"/>
  <c r="J437"/>
  <c r="K437" s="1"/>
  <c r="L437" s="1"/>
  <c r="M437" s="1"/>
  <c r="O437"/>
  <c r="J439"/>
  <c r="K439" s="1"/>
  <c r="L439" s="1"/>
  <c r="M439" s="1"/>
  <c r="O439"/>
  <c r="I450"/>
  <c r="J451"/>
  <c r="K451" s="1"/>
  <c r="L451" s="1"/>
  <c r="M451" s="1"/>
  <c r="O451"/>
  <c r="I452"/>
  <c r="J453"/>
  <c r="K453" s="1"/>
  <c r="L453" s="1"/>
  <c r="M453" s="1"/>
  <c r="O453"/>
  <c r="I454"/>
  <c r="J455"/>
  <c r="K455" s="1"/>
  <c r="L455" s="1"/>
  <c r="M455" s="1"/>
  <c r="O455"/>
  <c r="I456"/>
  <c r="J457"/>
  <c r="K457" s="1"/>
  <c r="L457" s="1"/>
  <c r="M457" s="1"/>
  <c r="O457"/>
  <c r="I458"/>
  <c r="J459"/>
  <c r="K459" s="1"/>
  <c r="L459" s="1"/>
  <c r="M459" s="1"/>
  <c r="O459"/>
  <c r="I460"/>
  <c r="J461"/>
  <c r="K461" s="1"/>
  <c r="L461" s="1"/>
  <c r="M461" s="1"/>
  <c r="O461"/>
  <c r="I462"/>
  <c r="J463"/>
  <c r="K463" s="1"/>
  <c r="L463" s="1"/>
  <c r="M463" s="1"/>
  <c r="O463"/>
  <c r="I464"/>
  <c r="J465"/>
  <c r="K465" s="1"/>
  <c r="L465" s="1"/>
  <c r="M465" s="1"/>
  <c r="O465"/>
  <c r="I466"/>
  <c r="J467"/>
  <c r="K467" s="1"/>
  <c r="L467" s="1"/>
  <c r="M467" s="1"/>
  <c r="O467"/>
  <c r="I468"/>
  <c r="J469"/>
  <c r="K469" s="1"/>
  <c r="L469" s="1"/>
  <c r="M469" s="1"/>
  <c r="O469"/>
  <c r="I470"/>
  <c r="J471"/>
  <c r="K471" s="1"/>
  <c r="L471" s="1"/>
  <c r="M471" s="1"/>
  <c r="O471"/>
  <c r="I472"/>
  <c r="J473"/>
  <c r="K473" s="1"/>
  <c r="L473" s="1"/>
  <c r="M473" s="1"/>
  <c r="O473"/>
  <c r="I474"/>
  <c r="J475"/>
  <c r="K475" s="1"/>
  <c r="L475" s="1"/>
  <c r="M475" s="1"/>
  <c r="O475"/>
  <c r="J477"/>
  <c r="K477" s="1"/>
  <c r="L477" s="1"/>
  <c r="M477" s="1"/>
  <c r="O477"/>
  <c r="J479"/>
  <c r="K479" s="1"/>
  <c r="L479" s="1"/>
  <c r="M479" s="1"/>
  <c r="O479"/>
  <c r="I480"/>
  <c r="J481"/>
  <c r="K481" s="1"/>
  <c r="L481" s="1"/>
  <c r="M481" s="1"/>
  <c r="O481"/>
  <c r="I482"/>
  <c r="J483"/>
  <c r="K483" s="1"/>
  <c r="L483" s="1"/>
  <c r="M483" s="1"/>
  <c r="O483"/>
  <c r="I484"/>
  <c r="J485"/>
  <c r="K485" s="1"/>
  <c r="L485" s="1"/>
  <c r="M485" s="1"/>
  <c r="O485"/>
  <c r="I486"/>
  <c r="J487"/>
  <c r="K487" s="1"/>
  <c r="L487" s="1"/>
  <c r="M487" s="1"/>
  <c r="O487"/>
  <c r="I488"/>
  <c r="J489"/>
  <c r="K489" s="1"/>
  <c r="L489" s="1"/>
  <c r="M489" s="1"/>
  <c r="O489"/>
  <c r="I490"/>
  <c r="J491"/>
  <c r="K491" s="1"/>
  <c r="L491" s="1"/>
  <c r="M491" s="1"/>
  <c r="O491"/>
  <c r="I492"/>
  <c r="J493"/>
  <c r="K493" s="1"/>
  <c r="L493" s="1"/>
  <c r="M493" s="1"/>
  <c r="O493"/>
  <c r="I494"/>
  <c r="J495"/>
  <c r="K495" s="1"/>
  <c r="L495" s="1"/>
  <c r="M495" s="1"/>
  <c r="O495"/>
  <c r="I496"/>
  <c r="J497"/>
  <c r="K497" s="1"/>
  <c r="L497" s="1"/>
  <c r="M497" s="1"/>
  <c r="O497"/>
  <c r="I498"/>
  <c r="J499"/>
  <c r="K499" s="1"/>
  <c r="L499" s="1"/>
  <c r="M499" s="1"/>
  <c r="O499"/>
  <c r="I500"/>
  <c r="J501"/>
  <c r="K501" s="1"/>
  <c r="L501" s="1"/>
  <c r="M501" s="1"/>
  <c r="O501"/>
  <c r="I502"/>
  <c r="J503"/>
  <c r="K503" s="1"/>
  <c r="L503" s="1"/>
  <c r="M503" s="1"/>
  <c r="O503"/>
  <c r="I504"/>
  <c r="J505"/>
  <c r="K505" s="1"/>
  <c r="L505" s="1"/>
  <c r="M505" s="1"/>
  <c r="I506"/>
  <c r="J507"/>
  <c r="K507" s="1"/>
  <c r="L507" s="1"/>
  <c r="M507" s="1"/>
  <c r="I508"/>
  <c r="J509"/>
  <c r="K509" s="1"/>
  <c r="L509" s="1"/>
  <c r="M509" s="1"/>
  <c r="I510"/>
  <c r="J511"/>
  <c r="K511" s="1"/>
  <c r="L511" s="1"/>
  <c r="M511" s="1"/>
  <c r="I512"/>
  <c r="J434"/>
  <c r="K434" s="1"/>
  <c r="L434" s="1"/>
  <c r="M434" s="1"/>
  <c r="J436"/>
  <c r="K436" s="1"/>
  <c r="L436" s="1"/>
  <c r="M436" s="1"/>
  <c r="J438"/>
  <c r="K438" s="1"/>
  <c r="L438" s="1"/>
  <c r="M438" s="1"/>
  <c r="J450"/>
  <c r="K450" s="1"/>
  <c r="L450" s="1"/>
  <c r="M450" s="1"/>
  <c r="J452"/>
  <c r="K452" s="1"/>
  <c r="L452" s="1"/>
  <c r="M452" s="1"/>
  <c r="J454"/>
  <c r="K454" s="1"/>
  <c r="L454" s="1"/>
  <c r="M454" s="1"/>
  <c r="J456"/>
  <c r="K456" s="1"/>
  <c r="L456" s="1"/>
  <c r="M456" s="1"/>
  <c r="J458"/>
  <c r="K458" s="1"/>
  <c r="L458" s="1"/>
  <c r="M458" s="1"/>
  <c r="J460"/>
  <c r="K460" s="1"/>
  <c r="L460" s="1"/>
  <c r="M460" s="1"/>
  <c r="J462"/>
  <c r="K462" s="1"/>
  <c r="L462" s="1"/>
  <c r="M462" s="1"/>
  <c r="J464"/>
  <c r="K464" s="1"/>
  <c r="L464" s="1"/>
  <c r="M464" s="1"/>
  <c r="J466"/>
  <c r="K466" s="1"/>
  <c r="L466" s="1"/>
  <c r="M466" s="1"/>
  <c r="J468"/>
  <c r="K468" s="1"/>
  <c r="L468" s="1"/>
  <c r="M468" s="1"/>
  <c r="J470"/>
  <c r="K470" s="1"/>
  <c r="L470" s="1"/>
  <c r="M470" s="1"/>
  <c r="J472"/>
  <c r="K472" s="1"/>
  <c r="L472" s="1"/>
  <c r="M472" s="1"/>
  <c r="J474"/>
  <c r="K474" s="1"/>
  <c r="L474" s="1"/>
  <c r="M474" s="1"/>
  <c r="J476"/>
  <c r="K476" s="1"/>
  <c r="L476" s="1"/>
  <c r="M476" s="1"/>
  <c r="J478"/>
  <c r="K478" s="1"/>
  <c r="L478" s="1"/>
  <c r="M478" s="1"/>
  <c r="J480"/>
  <c r="K480" s="1"/>
  <c r="L480" s="1"/>
  <c r="M480" s="1"/>
  <c r="J482"/>
  <c r="K482" s="1"/>
  <c r="L482" s="1"/>
  <c r="M482" s="1"/>
  <c r="J484"/>
  <c r="K484" s="1"/>
  <c r="L484" s="1"/>
  <c r="M484" s="1"/>
  <c r="J486"/>
  <c r="K486" s="1"/>
  <c r="L486" s="1"/>
  <c r="M486" s="1"/>
  <c r="J488"/>
  <c r="K488" s="1"/>
  <c r="L488" s="1"/>
  <c r="M488" s="1"/>
  <c r="J490"/>
  <c r="K490" s="1"/>
  <c r="L490" s="1"/>
  <c r="M490" s="1"/>
  <c r="J492"/>
  <c r="K492" s="1"/>
  <c r="L492" s="1"/>
  <c r="M492" s="1"/>
  <c r="J494"/>
  <c r="K494" s="1"/>
  <c r="L494" s="1"/>
  <c r="M494" s="1"/>
  <c r="J496"/>
  <c r="K496" s="1"/>
  <c r="L496" s="1"/>
  <c r="M496" s="1"/>
  <c r="J498"/>
  <c r="K498" s="1"/>
  <c r="L498" s="1"/>
  <c r="M498" s="1"/>
  <c r="J500"/>
  <c r="K500" s="1"/>
  <c r="L500" s="1"/>
  <c r="M500" s="1"/>
  <c r="J502"/>
  <c r="K502" s="1"/>
  <c r="L502" s="1"/>
  <c r="M502" s="1"/>
  <c r="J504"/>
  <c r="K504" s="1"/>
  <c r="L504" s="1"/>
  <c r="M504" s="1"/>
  <c r="J506"/>
  <c r="K506" s="1"/>
  <c r="L506" s="1"/>
  <c r="M506" s="1"/>
  <c r="J508"/>
  <c r="K508" s="1"/>
  <c r="L508" s="1"/>
  <c r="M508" s="1"/>
  <c r="J510"/>
  <c r="K510" s="1"/>
  <c r="L510" s="1"/>
  <c r="M510" s="1"/>
  <c r="J512"/>
  <c r="K512" s="1"/>
  <c r="L512" s="1"/>
  <c r="M512" s="1"/>
  <c r="G271" i="15" l="1"/>
  <c r="C271"/>
  <c r="D269"/>
  <c r="G273"/>
  <c r="C273"/>
  <c r="D271"/>
  <c r="E269"/>
  <c r="D281"/>
  <c r="F277"/>
  <c r="D289"/>
  <c r="E289"/>
  <c r="G285"/>
  <c r="E281"/>
  <c r="G277"/>
  <c r="G279"/>
  <c r="C287"/>
  <c r="E287"/>
  <c r="F253"/>
  <c r="E257"/>
  <c r="E255"/>
  <c r="F255"/>
  <c r="C289"/>
  <c r="D287"/>
  <c r="E285"/>
  <c r="G281"/>
  <c r="C281"/>
  <c r="D279"/>
  <c r="E277"/>
  <c r="F281"/>
  <c r="G287"/>
  <c r="D285"/>
  <c r="F285"/>
  <c r="G255"/>
  <c r="C255"/>
  <c r="D253"/>
  <c r="G257"/>
  <c r="C257"/>
  <c r="D255"/>
  <c r="G253"/>
  <c r="E317"/>
  <c r="D319"/>
  <c r="C321"/>
  <c r="G321"/>
  <c r="F317"/>
  <c r="E319"/>
  <c r="I249" i="14"/>
  <c r="O249"/>
  <c r="J249"/>
  <c r="K249" s="1"/>
  <c r="L249" s="1"/>
  <c r="M249" s="1"/>
  <c r="I245"/>
  <c r="O245"/>
  <c r="J245"/>
  <c r="K245" s="1"/>
  <c r="L245" s="1"/>
  <c r="M245" s="1"/>
  <c r="I243"/>
  <c r="O243"/>
  <c r="J243"/>
  <c r="K243" s="1"/>
  <c r="L243" s="1"/>
  <c r="M243" s="1"/>
  <c r="I241"/>
  <c r="O241"/>
  <c r="J241"/>
  <c r="K241" s="1"/>
  <c r="L241" s="1"/>
  <c r="M241" s="1"/>
  <c r="I239"/>
  <c r="O239"/>
  <c r="J239"/>
  <c r="K239" s="1"/>
  <c r="L239" s="1"/>
  <c r="M239" s="1"/>
  <c r="I234"/>
  <c r="O234"/>
  <c r="J234"/>
  <c r="K234" s="1"/>
  <c r="L234" s="1"/>
  <c r="M234" s="1"/>
  <c r="I230"/>
  <c r="O230"/>
  <c r="J230"/>
  <c r="K230" s="1"/>
  <c r="L230" s="1"/>
  <c r="M230" s="1"/>
  <c r="I221"/>
  <c r="O221"/>
  <c r="J221"/>
  <c r="K221" s="1"/>
  <c r="L221" s="1"/>
  <c r="M221" s="1"/>
  <c r="I217"/>
  <c r="O217"/>
  <c r="J217"/>
  <c r="K217" s="1"/>
  <c r="L217" s="1"/>
  <c r="M217" s="1"/>
  <c r="I213"/>
  <c r="O213"/>
  <c r="J213"/>
  <c r="K213" s="1"/>
  <c r="L213" s="1"/>
  <c r="M213" s="1"/>
  <c r="I209"/>
  <c r="O209"/>
  <c r="J209"/>
  <c r="K209" s="1"/>
  <c r="L209" s="1"/>
  <c r="M209" s="1"/>
  <c r="I205"/>
  <c r="O205"/>
  <c r="J205"/>
  <c r="K205" s="1"/>
  <c r="L205" s="1"/>
  <c r="M205" s="1"/>
  <c r="I134"/>
  <c r="O134"/>
  <c r="J134"/>
  <c r="K134" s="1"/>
  <c r="L134" s="1"/>
  <c r="M134" s="1"/>
  <c r="I132"/>
  <c r="O132"/>
  <c r="J132"/>
  <c r="K132" s="1"/>
  <c r="L132" s="1"/>
  <c r="M132" s="1"/>
  <c r="I126"/>
  <c r="O126"/>
  <c r="J126"/>
  <c r="K126" s="1"/>
  <c r="L126" s="1"/>
  <c r="M126" s="1"/>
  <c r="I124"/>
  <c r="O124"/>
  <c r="J124"/>
  <c r="K124" s="1"/>
  <c r="L124" s="1"/>
  <c r="M124" s="1"/>
  <c r="I122"/>
  <c r="O122"/>
  <c r="J122"/>
  <c r="K122" s="1"/>
  <c r="L122" s="1"/>
  <c r="M122" s="1"/>
  <c r="I120"/>
  <c r="O120"/>
  <c r="J120"/>
  <c r="K120" s="1"/>
  <c r="L120" s="1"/>
  <c r="M120" s="1"/>
  <c r="I118"/>
  <c r="O118"/>
  <c r="J118"/>
  <c r="K118" s="1"/>
  <c r="L118" s="1"/>
  <c r="M118" s="1"/>
  <c r="I116"/>
  <c r="O116"/>
  <c r="J116"/>
  <c r="K116" s="1"/>
  <c r="L116" s="1"/>
  <c r="M116" s="1"/>
  <c r="I114"/>
  <c r="O114"/>
  <c r="J114"/>
  <c r="K114" s="1"/>
  <c r="L114" s="1"/>
  <c r="M114" s="1"/>
  <c r="I112"/>
  <c r="O112"/>
  <c r="J112"/>
  <c r="K112" s="1"/>
  <c r="L112" s="1"/>
  <c r="M112" s="1"/>
  <c r="I110"/>
  <c r="O110"/>
  <c r="J110"/>
  <c r="K110" s="1"/>
  <c r="L110" s="1"/>
  <c r="M110" s="1"/>
  <c r="I108"/>
  <c r="O108"/>
  <c r="J108"/>
  <c r="K108" s="1"/>
  <c r="L108" s="1"/>
  <c r="M108" s="1"/>
  <c r="I106"/>
  <c r="O106"/>
  <c r="J106"/>
  <c r="K106" s="1"/>
  <c r="L106" s="1"/>
  <c r="M106" s="1"/>
  <c r="I104"/>
  <c r="O104"/>
  <c r="J104"/>
  <c r="K104" s="1"/>
  <c r="L104" s="1"/>
  <c r="M104" s="1"/>
  <c r="I102"/>
  <c r="O102"/>
  <c r="J102"/>
  <c r="K102" s="1"/>
  <c r="L102" s="1"/>
  <c r="M102" s="1"/>
  <c r="I100"/>
  <c r="O100"/>
  <c r="J100"/>
  <c r="K100" s="1"/>
  <c r="L100" s="1"/>
  <c r="M100" s="1"/>
  <c r="I98"/>
  <c r="O98"/>
  <c r="J98"/>
  <c r="K98" s="1"/>
  <c r="L98" s="1"/>
  <c r="M98" s="1"/>
  <c r="I96"/>
  <c r="O96"/>
  <c r="J96"/>
  <c r="K96" s="1"/>
  <c r="L96" s="1"/>
  <c r="M96" s="1"/>
  <c r="I94"/>
  <c r="O94"/>
  <c r="J94"/>
  <c r="K94" s="1"/>
  <c r="L94" s="1"/>
  <c r="M94" s="1"/>
  <c r="I92"/>
  <c r="O92"/>
  <c r="J92"/>
  <c r="K92" s="1"/>
  <c r="L92" s="1"/>
  <c r="M92" s="1"/>
  <c r="I90"/>
  <c r="O90"/>
  <c r="J90"/>
  <c r="K90" s="1"/>
  <c r="L90" s="1"/>
  <c r="M90" s="1"/>
  <c r="I88"/>
  <c r="O88"/>
  <c r="J88"/>
  <c r="K88" s="1"/>
  <c r="L88" s="1"/>
  <c r="M88" s="1"/>
  <c r="I86"/>
  <c r="O86"/>
  <c r="J86"/>
  <c r="K86" s="1"/>
  <c r="L86" s="1"/>
  <c r="M86" s="1"/>
  <c r="I84"/>
  <c r="O84"/>
  <c r="J84"/>
  <c r="K84" s="1"/>
  <c r="L84" s="1"/>
  <c r="M84" s="1"/>
  <c r="I82"/>
  <c r="O82"/>
  <c r="J82"/>
  <c r="K82" s="1"/>
  <c r="L82" s="1"/>
  <c r="M82" s="1"/>
  <c r="I80"/>
  <c r="O80"/>
  <c r="J80"/>
  <c r="K80" s="1"/>
  <c r="L80" s="1"/>
  <c r="M80" s="1"/>
  <c r="I78"/>
  <c r="O78"/>
  <c r="J78"/>
  <c r="K78" s="1"/>
  <c r="L78" s="1"/>
  <c r="M78" s="1"/>
  <c r="I76"/>
  <c r="O76"/>
  <c r="J76"/>
  <c r="K76" s="1"/>
  <c r="L76" s="1"/>
  <c r="M76" s="1"/>
  <c r="I72"/>
  <c r="O72"/>
  <c r="J72"/>
  <c r="K72" s="1"/>
  <c r="L72" s="1"/>
  <c r="M72" s="1"/>
  <c r="I66"/>
  <c r="O66"/>
  <c r="J66"/>
  <c r="K66" s="1"/>
  <c r="L66" s="1"/>
  <c r="M66" s="1"/>
  <c r="I275"/>
  <c r="O275"/>
  <c r="J275"/>
  <c r="K275" s="1"/>
  <c r="L275" s="1"/>
  <c r="M275" s="1"/>
  <c r="I273"/>
  <c r="O273"/>
  <c r="J273"/>
  <c r="K273" s="1"/>
  <c r="L273" s="1"/>
  <c r="M273" s="1"/>
  <c r="I271"/>
  <c r="O271"/>
  <c r="J271"/>
  <c r="K271" s="1"/>
  <c r="L271" s="1"/>
  <c r="M271" s="1"/>
  <c r="I269"/>
  <c r="O269"/>
  <c r="J269"/>
  <c r="K269" s="1"/>
  <c r="L269" s="1"/>
  <c r="M269" s="1"/>
  <c r="I267"/>
  <c r="O267"/>
  <c r="J267"/>
  <c r="K267" s="1"/>
  <c r="L267" s="1"/>
  <c r="M267" s="1"/>
  <c r="I265"/>
  <c r="O265"/>
  <c r="J265"/>
  <c r="K265" s="1"/>
  <c r="L265" s="1"/>
  <c r="M265" s="1"/>
  <c r="I263"/>
  <c r="O263"/>
  <c r="J263"/>
  <c r="K263" s="1"/>
  <c r="L263" s="1"/>
  <c r="M263" s="1"/>
  <c r="I261"/>
  <c r="O261"/>
  <c r="J261"/>
  <c r="K261" s="1"/>
  <c r="L261" s="1"/>
  <c r="M261" s="1"/>
  <c r="I259"/>
  <c r="O259"/>
  <c r="J259"/>
  <c r="K259" s="1"/>
  <c r="L259" s="1"/>
  <c r="M259" s="1"/>
  <c r="I257"/>
  <c r="O257"/>
  <c r="J257"/>
  <c r="K257" s="1"/>
  <c r="L257" s="1"/>
  <c r="M257" s="1"/>
  <c r="I255"/>
  <c r="O255"/>
  <c r="J255"/>
  <c r="K255" s="1"/>
  <c r="L255" s="1"/>
  <c r="M255" s="1"/>
  <c r="I253"/>
  <c r="O253"/>
  <c r="J253"/>
  <c r="K253" s="1"/>
  <c r="L253" s="1"/>
  <c r="M253" s="1"/>
  <c r="I251"/>
  <c r="O251"/>
  <c r="J251"/>
  <c r="K251" s="1"/>
  <c r="L251" s="1"/>
  <c r="M251" s="1"/>
  <c r="I247"/>
  <c r="O247"/>
  <c r="J247"/>
  <c r="K247" s="1"/>
  <c r="L247" s="1"/>
  <c r="M247" s="1"/>
  <c r="I237"/>
  <c r="O237"/>
  <c r="J237"/>
  <c r="K237" s="1"/>
  <c r="L237" s="1"/>
  <c r="M237" s="1"/>
  <c r="I232"/>
  <c r="O232"/>
  <c r="J232"/>
  <c r="K232" s="1"/>
  <c r="L232" s="1"/>
  <c r="M232" s="1"/>
  <c r="I227"/>
  <c r="O227"/>
  <c r="J227"/>
  <c r="K227" s="1"/>
  <c r="L227" s="1"/>
  <c r="M227" s="1"/>
  <c r="I223"/>
  <c r="O223"/>
  <c r="J223"/>
  <c r="K223" s="1"/>
  <c r="L223" s="1"/>
  <c r="M223" s="1"/>
  <c r="I219"/>
  <c r="O219"/>
  <c r="J219"/>
  <c r="K219" s="1"/>
  <c r="L219" s="1"/>
  <c r="M219" s="1"/>
  <c r="I215"/>
  <c r="O215"/>
  <c r="J215"/>
  <c r="K215" s="1"/>
  <c r="L215" s="1"/>
  <c r="M215" s="1"/>
  <c r="I211"/>
  <c r="O211"/>
  <c r="J211"/>
  <c r="K211" s="1"/>
  <c r="L211" s="1"/>
  <c r="M211" s="1"/>
  <c r="I207"/>
  <c r="O207"/>
  <c r="J207"/>
  <c r="K207" s="1"/>
  <c r="L207" s="1"/>
  <c r="M207" s="1"/>
  <c r="I179"/>
  <c r="O179"/>
  <c r="J179"/>
  <c r="K179" s="1"/>
  <c r="L179" s="1"/>
  <c r="M179" s="1"/>
  <c r="I177"/>
  <c r="O177"/>
  <c r="J177"/>
  <c r="K177" s="1"/>
  <c r="L177" s="1"/>
  <c r="M177" s="1"/>
  <c r="I175"/>
  <c r="O175"/>
  <c r="J175"/>
  <c r="K175" s="1"/>
  <c r="L175" s="1"/>
  <c r="M175" s="1"/>
  <c r="I173"/>
  <c r="O173"/>
  <c r="J173"/>
  <c r="K173" s="1"/>
  <c r="L173" s="1"/>
  <c r="M173" s="1"/>
  <c r="I171"/>
  <c r="O171"/>
  <c r="J171"/>
  <c r="K171" s="1"/>
  <c r="L171" s="1"/>
  <c r="M171" s="1"/>
  <c r="I169"/>
  <c r="O169"/>
  <c r="J169"/>
  <c r="K169" s="1"/>
  <c r="L169" s="1"/>
  <c r="M169" s="1"/>
  <c r="I163"/>
  <c r="O163"/>
  <c r="J163"/>
  <c r="K163" s="1"/>
  <c r="L163" s="1"/>
  <c r="M163" s="1"/>
  <c r="I74"/>
  <c r="O74"/>
  <c r="J74"/>
  <c r="K74" s="1"/>
  <c r="L74" s="1"/>
  <c r="M74" s="1"/>
  <c r="I68"/>
  <c r="O68"/>
  <c r="J68"/>
  <c r="K68" s="1"/>
  <c r="L68" s="1"/>
  <c r="M68" s="1"/>
</calcChain>
</file>

<file path=xl/sharedStrings.xml><?xml version="1.0" encoding="utf-8"?>
<sst xmlns="http://schemas.openxmlformats.org/spreadsheetml/2006/main" count="3319" uniqueCount="1450">
  <si>
    <t>Код медицинской услуги</t>
  </si>
  <si>
    <t>Наименование медицинской услуги</t>
  </si>
  <si>
    <t xml:space="preserve">Плата на услуги, руб.  </t>
  </si>
  <si>
    <t xml:space="preserve">Общие виды работ   </t>
  </si>
  <si>
    <t>B01.064.001</t>
  </si>
  <si>
    <t>Прием (осмотр, консультация) врача-стоматолога первичный</t>
  </si>
  <si>
    <t>B01.064.002</t>
  </si>
  <si>
    <t>Прием (осмотр, консультация) врача-стоматолога повторный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</si>
  <si>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</si>
  <si>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</si>
  <si>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</si>
  <si>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</si>
  <si>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</si>
  <si>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</si>
  <si>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</si>
  <si>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</si>
  <si>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</si>
  <si>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</si>
  <si>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</si>
  <si>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</si>
  <si>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В01.065.000.000.003</t>
  </si>
  <si>
    <t>А01.07.007</t>
  </si>
  <si>
    <t>Определение степени открывания рта и ограничения подвижности нижней челюсти</t>
  </si>
  <si>
    <t>А02.07.003</t>
  </si>
  <si>
    <t>Исследование зубодесневого кармана с помощью пародонтологического зонда</t>
  </si>
  <si>
    <t>А02.07.006</t>
  </si>
  <si>
    <t>Определение прикуса</t>
  </si>
  <si>
    <t>А02.07.008</t>
  </si>
  <si>
    <t>Определение степени патологической подвижности зубов (за 6 зубов)</t>
  </si>
  <si>
    <t>А02.07.010</t>
  </si>
  <si>
    <t>Исследования на диагностических моделях челюстей</t>
  </si>
  <si>
    <t>А02.07.013</t>
  </si>
  <si>
    <t>Функциональные жевательные пробы</t>
  </si>
  <si>
    <t>А02.07.014</t>
  </si>
  <si>
    <t>Гнатодинамометрия</t>
  </si>
  <si>
    <t>А02.07.000.000.018</t>
  </si>
  <si>
    <t>Определение индексов (ПИ, РМА)</t>
  </si>
  <si>
    <t>А02.07.000.000.019</t>
  </si>
  <si>
    <t>Определение индекса SPITN</t>
  </si>
  <si>
    <t>А02.07.000.000.020</t>
  </si>
  <si>
    <t>Снятие и анализ окклюдограммы</t>
  </si>
  <si>
    <t>А02.07.000.000.021</t>
  </si>
  <si>
    <t>Определение индексов (КПУ,кп,КПУ+кп)</t>
  </si>
  <si>
    <t>А02.12.002</t>
  </si>
  <si>
    <t>Измерение артериального давления на периферических артериях</t>
  </si>
  <si>
    <t>А06.07.004</t>
  </si>
  <si>
    <t>А06.07.007</t>
  </si>
  <si>
    <t>А06.07.010</t>
  </si>
  <si>
    <t>A11.07.011</t>
  </si>
  <si>
    <t>Инъекционное введение лекарственных препаратов в челюстно-лицевую область</t>
  </si>
  <si>
    <t>А11.07.000.000.015</t>
  </si>
  <si>
    <t>Инфильтрационная анестезия (челюстно-лицевая область)</t>
  </si>
  <si>
    <t>А11.07.000.000.016</t>
  </si>
  <si>
    <t>Проводниковая анестезия (челюстно-лицевая область)</t>
  </si>
  <si>
    <t>А11.07.000.000.017</t>
  </si>
  <si>
    <t>Внутрипульпарная анестезия</t>
  </si>
  <si>
    <t>А11.07.000.000.018</t>
  </si>
  <si>
    <t>Интралигаментарная анестезия (челюстно-лицевая область)</t>
  </si>
  <si>
    <t>А11.07.000.000.019</t>
  </si>
  <si>
    <t>Внеротовая анестезия (блокада)</t>
  </si>
  <si>
    <t>А12.07.002</t>
  </si>
  <si>
    <t>Компьютерная диагностика заболеваний пародонта с использованием электронных зондирующих устройств</t>
  </si>
  <si>
    <t>А12.07.003</t>
  </si>
  <si>
    <t>Определение индексов гигиены полости рта</t>
  </si>
  <si>
    <t>А13.30.007</t>
  </si>
  <si>
    <t>Обучение гигиене полости рта</t>
  </si>
  <si>
    <t>А17.07.000.000.008</t>
  </si>
  <si>
    <t>Электрофорез одного корневого канала</t>
  </si>
  <si>
    <t>А17.07.000.000.009</t>
  </si>
  <si>
    <t xml:space="preserve">Апекс-локация одного корневого канала </t>
  </si>
  <si>
    <t>A17.07.003.000.011</t>
  </si>
  <si>
    <t>Диатермокоагуляция одного десневого сосочка, содержимого одного корневого канала</t>
  </si>
  <si>
    <t>А20.07.000.000.002</t>
  </si>
  <si>
    <t xml:space="preserve">Гидромассаж десен </t>
  </si>
  <si>
    <t>А22.07.004</t>
  </si>
  <si>
    <t>Ультразвуковое расширение корневого канала зуба</t>
  </si>
  <si>
    <t>А23.02.000.000.002</t>
  </si>
  <si>
    <t>Миотерапия с последующим контролем</t>
  </si>
  <si>
    <t>А25.07.001</t>
  </si>
  <si>
    <t>Назначение лекарственной терапии при заболеваниях полости рта и зубов</t>
  </si>
  <si>
    <t>А25.07.002</t>
  </si>
  <si>
    <t>Назначение диетической терапии при заболеваниях полости рта и зубов</t>
  </si>
  <si>
    <t>А25.07.003</t>
  </si>
  <si>
    <t>Назначение лечебно-оздоровительного режима при заболеваниях полости рта и зубов</t>
  </si>
  <si>
    <t>А16.07.000.000.080</t>
  </si>
  <si>
    <t xml:space="preserve">Аппликация лекарственного препарата на слизистую оболочку полости рта </t>
  </si>
  <si>
    <t>А16.07.000.000.081</t>
  </si>
  <si>
    <t>Введение лекарственных средств в корневые каналы под повязку (1 канал)</t>
  </si>
  <si>
    <t>А16.07.002.000.083</t>
  </si>
  <si>
    <t>А16.07. 002.000.084</t>
  </si>
  <si>
    <t>А16.07. 002.000.086</t>
  </si>
  <si>
    <t>А16.07. 002.000.087</t>
  </si>
  <si>
    <t>А16.07. 002.000.088</t>
  </si>
  <si>
    <t>А16.07. 002.000.089</t>
  </si>
  <si>
    <t>А16.07. 002.000.090</t>
  </si>
  <si>
    <t>Восстановление формы зуба при отсутствии твердых тканей до ½  коронки зуба светоотверждаемыми композитами</t>
  </si>
  <si>
    <t>А16.07. 002.000.092</t>
  </si>
  <si>
    <t>Восстановление формы зуба светоотверждаемыми композитами при полном отсутствии коронки зуба</t>
  </si>
  <si>
    <t>А16.07. 002.000.094</t>
  </si>
  <si>
    <t>А16.07. 002.000.096</t>
  </si>
  <si>
    <t>Восстановление цвета эмали светоотверждаемыми композитами</t>
  </si>
  <si>
    <t>А16.07.057</t>
  </si>
  <si>
    <t>Запечатывание фиссуры зуба герметикоом</t>
  </si>
  <si>
    <t>А16.07.039</t>
  </si>
  <si>
    <t xml:space="preserve">Закрытый кюретаж при заболеваниях пародонта </t>
  </si>
  <si>
    <t>А16.07.025</t>
  </si>
  <si>
    <t>Избирательное пришлифовывание твердых тканей зубов (1 зуб)</t>
  </si>
  <si>
    <t>А16.07.030.000.105</t>
  </si>
  <si>
    <t>Извлечение фиксированного инород. тела из одного корневого канала</t>
  </si>
  <si>
    <t>А16.07.031.000.107</t>
  </si>
  <si>
    <t>Калибровка одного канала под штифт</t>
  </si>
  <si>
    <t>А16.07.020.000.111</t>
  </si>
  <si>
    <t>Лечебная повязка на слизистую оболочку полости рта (взрослый и детский прием, 1 сеанс)</t>
  </si>
  <si>
    <t>А16.07.008.000.112</t>
  </si>
  <si>
    <t>Лечение одного корневого канала с применением средств механического расширения</t>
  </si>
  <si>
    <t>А16.07.008.000.114</t>
  </si>
  <si>
    <t>Лечение периодонтита импрегнационным методом без наложения пломбы</t>
  </si>
  <si>
    <t>А16.07.002.000.116</t>
  </si>
  <si>
    <t>Лечение поверхностного кариеса методом серебрения</t>
  </si>
  <si>
    <t>А16.07.009.000.117</t>
  </si>
  <si>
    <t>Лечение пульпита ампутационным методом без наложения пломбы</t>
  </si>
  <si>
    <t>А16.07.031.000.119</t>
  </si>
  <si>
    <t>Лечение с применением парапульпарных штифтов</t>
  </si>
  <si>
    <t>А16.07.020.000.121</t>
  </si>
  <si>
    <t>Медикаментозное лечение пародонтальных карманов: аппликация (группа зубов)</t>
  </si>
  <si>
    <t>А16.07.020.000.122</t>
  </si>
  <si>
    <t xml:space="preserve">Медикаментозное лечение пародонтальных карманов: инстилляция (группа зубов) </t>
  </si>
  <si>
    <t>А16.07. 020.000.123</t>
  </si>
  <si>
    <t>Медикаментозное лечение пародонтальных карманов: орошение (группа зубов)</t>
  </si>
  <si>
    <t>А16.07. 020.000.124</t>
  </si>
  <si>
    <t>Медикаментозное лечение пародонтальных карманов: повязка (группа зубов)</t>
  </si>
  <si>
    <t>А16.07. 020.000.125</t>
  </si>
  <si>
    <t>Местное применение реминерализующих, фторсодержащих препаратов и десенситайзеров (взрослый и детский прием, 1 зуб)</t>
  </si>
  <si>
    <t>А16.07.009.000.126</t>
  </si>
  <si>
    <t>Наложение девитализирующей пасты</t>
  </si>
  <si>
    <t>А16.07.002.000.128</t>
  </si>
  <si>
    <t>Наложение квикдама, оптидама (1 зуб)</t>
  </si>
  <si>
    <t>А16.07.002.000.129</t>
  </si>
  <si>
    <t>Наложение коффердама, раббердама (1 зуб)</t>
  </si>
  <si>
    <t>А16.07.002.000.131</t>
  </si>
  <si>
    <t>Наложение лечебной прокладки при глубоком кариесе</t>
  </si>
  <si>
    <t>А16.07.019.000.133</t>
  </si>
  <si>
    <t>Наложение одного звена шины из лигатурной проволоки</t>
  </si>
  <si>
    <t>А16.07.002.000.135</t>
  </si>
  <si>
    <t>А16.07.002.000.138</t>
  </si>
  <si>
    <t>А16.07.002.000.141</t>
  </si>
  <si>
    <t>А16.07.002.000.144</t>
  </si>
  <si>
    <t>А16.07.002.000.147</t>
  </si>
  <si>
    <t>А16.07.002.000.150</t>
  </si>
  <si>
    <t>А16.07. 002.000.153</t>
  </si>
  <si>
    <t>А16.07. 002.000.156</t>
  </si>
  <si>
    <t>Наложение одной пломбы из композитов химического отверждения при поверхностном и среднем кариесе II, III классов по Блеку</t>
  </si>
  <si>
    <t>А16.07. 002.000.159</t>
  </si>
  <si>
    <t>Наложение одной пломбы из композитов химического отверждения при поверхностном и среднем кариесе IV класса по Блеку</t>
  </si>
  <si>
    <t>А16.07. 002.000.163</t>
  </si>
  <si>
    <t>Наложение одной пломбы из цемента при кариесе цемента корня зуба, при поверхностном и среднем кариесе I, V классов по Блеку</t>
  </si>
  <si>
    <t>А16.07. 002.000.165</t>
  </si>
  <si>
    <t>Наложение одной пломбы из цемента при поверхностном и среднем кариесе II, III классов по Блеку</t>
  </si>
  <si>
    <t>А16.07. 002.000.168</t>
  </si>
  <si>
    <t>Наложение одной пломбы из цемента при поверхностном и среднем кариесе IV класса по Блеку</t>
  </si>
  <si>
    <t>А16.07.050.000.171</t>
  </si>
  <si>
    <t>Отбеливание коронки зуба (1 сеанс)</t>
  </si>
  <si>
    <t>А16.07.038</t>
  </si>
  <si>
    <t>Открытый кюретаж при болезнях пародонта</t>
  </si>
  <si>
    <t>А16.07.001.000.173</t>
  </si>
  <si>
    <t>Перелом корня зуба – репозиция отломков штифтом</t>
  </si>
  <si>
    <t>А16.07.008.000.175</t>
  </si>
  <si>
    <t>Обтурация одного корневого канала гуттаперчей</t>
  </si>
  <si>
    <t>А16.07.002.000.178</t>
  </si>
  <si>
    <t>Полировка пломбы из композита при лечении кариозных полостей I, II, III, V классов по Блеку</t>
  </si>
  <si>
    <t>А16.07.020.000.180</t>
  </si>
  <si>
    <t>Полировка пломбы при реставрационных работах и при лечении кариозных полостей  IV класса по Блеку</t>
  </si>
  <si>
    <t>А16.07.008.000.183</t>
  </si>
  <si>
    <t>Применение средств химической резорбции (1 канал)</t>
  </si>
  <si>
    <t>А16.07.020.000.184</t>
  </si>
  <si>
    <t>А16.07.051.000.186</t>
  </si>
  <si>
    <t>Проведение профессиональной гигиены одного зуба: снятие над-, поддесневого зубного камня, шлифовка, полировка</t>
  </si>
  <si>
    <t>А16.07.030.000.188</t>
  </si>
  <si>
    <t>Распломбировка одного корневого канала, запломбированного резорцин-формалиновой пастой</t>
  </si>
  <si>
    <t>А16.07.030.000.190</t>
  </si>
  <si>
    <t>Распломбировка одного корневого канала, запломбированного фосфат-цементом</t>
  </si>
  <si>
    <t>А16.07.030.000.193</t>
  </si>
  <si>
    <t>Распломбировка одного корневого канала, запломбированного цинк-эвгеноловой пастой, гуттаперчей</t>
  </si>
  <si>
    <t>А16.07.002.000.194</t>
  </si>
  <si>
    <t>Расшлифовка одной фиссуры, сошлифовка деминерализованной эмали при кариесе в стадии пятна (1 зуб)</t>
  </si>
  <si>
    <t>А16.07.002.000.195</t>
  </si>
  <si>
    <t>Реставрация  светоотверждаемыми композитами при врожденных аномалиях формы зуба</t>
  </si>
  <si>
    <t>А16.07. 002.000.197</t>
  </si>
  <si>
    <t>Реставрация зубных рядов светоотверждаемыми композитами (тремы, диастема) за каждый зуб</t>
  </si>
  <si>
    <t>А16.07. 002.000.199</t>
  </si>
  <si>
    <t>Снятие пломбы</t>
  </si>
  <si>
    <t>А16.07. 002.000.202</t>
  </si>
  <si>
    <t>Трепанация зуба, искусственной коронки</t>
  </si>
  <si>
    <t>А16.07. 002.000.210</t>
  </si>
  <si>
    <t>Устранение дефекта пломбы из композитных материалов</t>
  </si>
  <si>
    <t>А16.07.031.000.213</t>
  </si>
  <si>
    <t>Фиксация поста в корневом канале</t>
  </si>
  <si>
    <t>А16.07.031.000.215</t>
  </si>
  <si>
    <t>Частичная распломбировка одного канала под штифт</t>
  </si>
  <si>
    <t>А16.07.019.000.219</t>
  </si>
  <si>
    <t>Шинирование зубов с применением композита в области одного зуба</t>
  </si>
  <si>
    <t>А16.07.019.000.221</t>
  </si>
  <si>
    <t>Шинирование зубов с применением стекловолоконных материалов, крепление к коронке одного зуба</t>
  </si>
  <si>
    <t>А16.07.000.000.470</t>
  </si>
  <si>
    <t>Иссечение рубцов челюстно-лицевой области и шеи с пластикой местными тканями</t>
  </si>
  <si>
    <t>А16.07.000.000.225</t>
  </si>
  <si>
    <t>Введение лекарственных веществ в височно-нижнечелюстной сустав</t>
  </si>
  <si>
    <t>А16.07.045.000.227</t>
  </si>
  <si>
    <t>Вестибулопластика в области шести зубов</t>
  </si>
  <si>
    <t>А16.07.045.000.229</t>
  </si>
  <si>
    <t>Вестибулопластика с аутотрансплантацией  до шести зубов</t>
  </si>
  <si>
    <t>А16.07.01.000.236</t>
  </si>
  <si>
    <t>Гемисекция, ампутация корня зуба без выкраивания слизисто-надкостничного лоскута</t>
  </si>
  <si>
    <t>А16.07. 01.000.237</t>
  </si>
  <si>
    <t>Гемисекция, ампутация корня зуба с выкраиванием слизисто-надкостничного лоскута</t>
  </si>
  <si>
    <t>А16.07. 01.000.238</t>
  </si>
  <si>
    <t>Гингивопластика в области шести зубов</t>
  </si>
  <si>
    <t>А16.07. 01.000.030</t>
  </si>
  <si>
    <t>Гингивэктомия (иссечение десневого сосочка)</t>
  </si>
  <si>
    <t>А16.07. 01.000.243</t>
  </si>
  <si>
    <t>Компактостеотомия в области двух зубов</t>
  </si>
  <si>
    <t>А16.07.000.000.064</t>
  </si>
  <si>
    <t>Короно-радикулярная сепарация</t>
  </si>
  <si>
    <t>A16.07.017</t>
  </si>
  <si>
    <t>Коррекция объема и формы альвеолярного отростка (в области одного зуба)</t>
  </si>
  <si>
    <t>А16.07. 000.000.025</t>
  </si>
  <si>
    <t>Контурная пластика</t>
  </si>
  <si>
    <t>А16.07.061</t>
  </si>
  <si>
    <t>Коррекция верхней губы</t>
  </si>
  <si>
    <t>A16.07.001.000.248</t>
  </si>
  <si>
    <t>Кюретаж лунки после удаления зуба при заболевании тканей пародонта</t>
  </si>
  <si>
    <t>A16.07.001.000.251</t>
  </si>
  <si>
    <t>Лигатурное скрепление при вывихах зубов (1 зуб)</t>
  </si>
  <si>
    <t>A16.07.001.000.253</t>
  </si>
  <si>
    <t>Наложение одного шва</t>
  </si>
  <si>
    <t>А16.07. 000.000.255</t>
  </si>
  <si>
    <t>Оперативное вмешательство на тканях пародонта с использованием средств остеоинтеграции</t>
  </si>
  <si>
    <t>А16.07. 000.000.058</t>
  </si>
  <si>
    <t>Операция установки имплантата для дальнейшего зубопротезирования (винтового)</t>
  </si>
  <si>
    <t>А16.07. 000.000.291</t>
  </si>
  <si>
    <t>Операция установки имплантата для дальнейшего зубопротезирования (пластинчатого, с одной супраструктурой)</t>
  </si>
  <si>
    <t>А16.07.013</t>
  </si>
  <si>
    <t>Отсроченный кюретаж лунки удаленного зуба</t>
  </si>
  <si>
    <t>А16.07.063</t>
  </si>
  <si>
    <t>Пластика альвеолярного отростка верхней челюсти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</si>
  <si>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</si>
  <si>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</si>
  <si>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</si>
  <si>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</si>
  <si>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</si>
  <si>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</si>
  <si>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А16.07.054.000.294</t>
  </si>
  <si>
    <t>Подготовка альвеолярного отростка к операции имплантации (наращивание, расщепление и др.)</t>
  </si>
  <si>
    <t>А16.07. 000.000.265</t>
  </si>
  <si>
    <t>Рассечение уздечки языка</t>
  </si>
  <si>
    <t>A16.07.001.000.007</t>
  </si>
  <si>
    <t>Резекция верхушки корня</t>
  </si>
  <si>
    <t>А16.07.007.000.266</t>
  </si>
  <si>
    <t>Резекция верхушки корня двух и более зубов</t>
  </si>
  <si>
    <t>А16.07.001.000.269</t>
  </si>
  <si>
    <t>Реплантация многокорневого зуба</t>
  </si>
  <si>
    <t>А16.07.01.000.271</t>
  </si>
  <si>
    <t>Реплантация однокорневого зуба или зачатка зуба</t>
  </si>
  <si>
    <t>А16.07.000.000.059</t>
  </si>
  <si>
    <t>Синуслифтинг</t>
  </si>
  <si>
    <t>A16.07.001.000.275</t>
  </si>
  <si>
    <t>Сложное удаление зуба с выкраиванием слизисто-надкостничного лоскута и резекцией костной пластинки</t>
  </si>
  <si>
    <t>А16.07.001.000.277</t>
  </si>
  <si>
    <t>Сложное удаление зуба с разъединением  корней</t>
  </si>
  <si>
    <t>А16.07.001.000.279</t>
  </si>
  <si>
    <t>Снятие швов</t>
  </si>
  <si>
    <t>А16.07.000.000.281</t>
  </si>
  <si>
    <t>Снятие шины с одной челюсти</t>
  </si>
  <si>
    <t>А16.07.001.000.282</t>
  </si>
  <si>
    <t>Удаление временного зуба</t>
  </si>
  <si>
    <t>А16.07.001</t>
  </si>
  <si>
    <t>Удаление зуба</t>
  </si>
  <si>
    <t>А16.07.001.000.284</t>
  </si>
  <si>
    <t>Удаление имплантата простое</t>
  </si>
  <si>
    <t>А16.07.001.000.285</t>
  </si>
  <si>
    <t>Удаление имплантата сложное</t>
  </si>
  <si>
    <t>А16.07.000.000.286</t>
  </si>
  <si>
    <t>Удаление камня из протока слюнной железы</t>
  </si>
  <si>
    <t>А16.07.001.000.288</t>
  </si>
  <si>
    <t>Удаление одного зуба с применением трансплантата при заболеваниях пародонта</t>
  </si>
  <si>
    <t>А16.07.001.000.027</t>
  </si>
  <si>
    <t>Удаление ретенированного, дистопированного зуба</t>
  </si>
  <si>
    <t>А16.07.016</t>
  </si>
  <si>
    <t>Цистотомия или цистэктомия</t>
  </si>
  <si>
    <t xml:space="preserve">Виды работ на ортопедическом приеме </t>
  </si>
  <si>
    <t>А16.07.052.000.352</t>
  </si>
  <si>
    <t>Изготовление (сдача) штифтовой конструкции</t>
  </si>
  <si>
    <t>А16.07.023.000.402</t>
  </si>
  <si>
    <t>Изготовление эластической прокладки (клинический  метод)</t>
  </si>
  <si>
    <t>А16.07.036.000.354</t>
  </si>
  <si>
    <t>Использование в конструкции бюгельного протеза замка</t>
  </si>
  <si>
    <t>А16.07.021.000.356</t>
  </si>
  <si>
    <t>Коррекция протеза</t>
  </si>
  <si>
    <t>А16.07.005.000.357</t>
  </si>
  <si>
    <t>Окклюзионная накладка в мостовидном протезе</t>
  </si>
  <si>
    <t>А16.07.021.000.358</t>
  </si>
  <si>
    <t>Определение центральной окклюзии</t>
  </si>
  <si>
    <t>А16.07.021.000.359</t>
  </si>
  <si>
    <t>Перебазировка съемного протеза</t>
  </si>
  <si>
    <t>А16.07.037</t>
  </si>
  <si>
    <t>Постоянное шинирование цельнолитыми съемными конструкциями при болезнях пародонта</t>
  </si>
  <si>
    <t>А16.07.023.000.363</t>
  </si>
  <si>
    <t>Припасовка индивидуальной ложки</t>
  </si>
  <si>
    <t>А16.07.006</t>
  </si>
  <si>
    <t>Протезирование зуба с использованием имплантата</t>
  </si>
  <si>
    <t>А16.07.021.000.365</t>
  </si>
  <si>
    <t>Реставрация одной металлокерамической единицы фотополимерами прямым способом</t>
  </si>
  <si>
    <t>А16.07.021.000.366</t>
  </si>
  <si>
    <t>Реставрация фасетки композитами прямым способом</t>
  </si>
  <si>
    <t>А16.07. 021.000.367</t>
  </si>
  <si>
    <t>Сдача боксерской шины</t>
  </si>
  <si>
    <t>А16.07.036</t>
  </si>
  <si>
    <t>Протезирование съемными бюгельными протезами</t>
  </si>
  <si>
    <t>А16.07.003.000.369</t>
  </si>
  <si>
    <t>Протезирование вкладкой</t>
  </si>
  <si>
    <t>А16.07.005.000.370</t>
  </si>
  <si>
    <t>Сдача зуба литого металлического в несъемной конструкции протеза</t>
  </si>
  <si>
    <t>А16.07.005.000.371</t>
  </si>
  <si>
    <t>Сдача зуба металлоакрилового в несъемной конструкции протеза</t>
  </si>
  <si>
    <t>А16.07.005.000.372</t>
  </si>
  <si>
    <t>Сдача зуба металлокерамического в несъемной конструкции протеза</t>
  </si>
  <si>
    <t>А16.07.005.000.373</t>
  </si>
  <si>
    <t>Сдача зуба пластмассового в несъемной конструкции протеза</t>
  </si>
  <si>
    <t>А16.07.005.000.374</t>
  </si>
  <si>
    <t>Сдача зуба Рокатек, Тагрис, Артглас в несъемной конструкции протеза</t>
  </si>
  <si>
    <t>А16.07.004.000.375</t>
  </si>
  <si>
    <t>Протезирование коронкой комбинированной</t>
  </si>
  <si>
    <t>А16.07. 004.000.376</t>
  </si>
  <si>
    <t>Протезирование коронкой бюгельной</t>
  </si>
  <si>
    <t>А16.07.004.000.377</t>
  </si>
  <si>
    <t>Протезирование коронкой металлоакриловой на цельнолитом каркасе</t>
  </si>
  <si>
    <t>А16.07.004.000.378</t>
  </si>
  <si>
    <t>Протезирование коронкой металлоакриловой на штампованном колпачке</t>
  </si>
  <si>
    <t>А16.07.004.000.379</t>
  </si>
  <si>
    <t>Протезирование коронкой металлокерамической (фарфоровой)</t>
  </si>
  <si>
    <t>А16.07.004.000.380</t>
  </si>
  <si>
    <t>Протезирование коронкой пластмассовой</t>
  </si>
  <si>
    <t>А16.07.004.000.381</t>
  </si>
  <si>
    <t>Протезирование коронкой пластмассовой с послойной моделировкой</t>
  </si>
  <si>
    <t>А16.07.004.000.382</t>
  </si>
  <si>
    <t>Протезирование коронкой Рокатек, Тагрис, Артглас</t>
  </si>
  <si>
    <t>А16.07.004.000.383</t>
  </si>
  <si>
    <t>Протезирование коронкой телескопической</t>
  </si>
  <si>
    <t>А16.07.004.000.384</t>
  </si>
  <si>
    <t>Протезирование коронкой цельнолитой</t>
  </si>
  <si>
    <t>А16.07.021.000.385</t>
  </si>
  <si>
    <t>Протезирование съемным протезом из термопластического материала</t>
  </si>
  <si>
    <t>А16.07.004.000.389</t>
  </si>
  <si>
    <t xml:space="preserve">Изготовление  временной искуственной коронки  </t>
  </si>
  <si>
    <t>А16.07.023</t>
  </si>
  <si>
    <t>Протезирование полным съемным пластиночным протезом</t>
  </si>
  <si>
    <t>А16.07 .021.000.391</t>
  </si>
  <si>
    <t>Протезирование сложным челюстным протезом</t>
  </si>
  <si>
    <t>А16.07.035</t>
  </si>
  <si>
    <t>Протезирование частичным съемным пластиночным протезом</t>
  </si>
  <si>
    <t>А16.07.021.000.399</t>
  </si>
  <si>
    <t>Сдача фасетки в несъемной конструкции протеза</t>
  </si>
  <si>
    <t>А16.07.021.000.393</t>
  </si>
  <si>
    <t>Снятие двойного слепка эластической массой</t>
  </si>
  <si>
    <t>А16.07.053.000.394</t>
  </si>
  <si>
    <t>Снятие искусственной коронки</t>
  </si>
  <si>
    <t>А16.07.021.000.395</t>
  </si>
  <si>
    <t>Снятие одного слепка эластической массой</t>
  </si>
  <si>
    <t>А16.07.021.000.396</t>
  </si>
  <si>
    <t>Снятие слепка гипсом</t>
  </si>
  <si>
    <t>А16.07.021.000.397</t>
  </si>
  <si>
    <t>Снятие функционального слепка</t>
  </si>
  <si>
    <t>А16.07.053.000.398</t>
  </si>
  <si>
    <t>А16.07.004.000.400</t>
  </si>
  <si>
    <t>Фиксация коронки с применением фотополимеров</t>
  </si>
  <si>
    <t>А16.07.004.000.401</t>
  </si>
  <si>
    <t>Фиксация коронки с применением цемента</t>
  </si>
  <si>
    <t xml:space="preserve">Зуботехнические лабораторные работы  </t>
  </si>
  <si>
    <t>А23.07.000.000.001</t>
  </si>
  <si>
    <t>Изготовление зуба литого металлического  в несъемной конструкции  протеза</t>
  </si>
  <si>
    <t>А23.07. 000.000.002</t>
  </si>
  <si>
    <t>Изготовление лапки литого зуба</t>
  </si>
  <si>
    <t>A23.07.000.000.003</t>
  </si>
  <si>
    <t>Изготовление контрольной, огнеупорной модели</t>
  </si>
  <si>
    <t>A23.07.000.000.004</t>
  </si>
  <si>
    <t>Изготовление зуба пластмассового простого</t>
  </si>
  <si>
    <t>A23.07.000.000.005</t>
  </si>
  <si>
    <t>Изготовление спайки</t>
  </si>
  <si>
    <t>A23.07.000.000.006</t>
  </si>
  <si>
    <t>Изготовление разборной модели</t>
  </si>
  <si>
    <t>A23.07.000.000.007</t>
  </si>
  <si>
    <t>Изготовление гнутой лапки</t>
  </si>
  <si>
    <t>A23.07.000.000.008</t>
  </si>
  <si>
    <t>Изготовление литого штифтового зуба</t>
  </si>
  <si>
    <t>A23.07.000.000.009</t>
  </si>
  <si>
    <t>Изготовление съемного протеза из термопластического материала</t>
  </si>
  <si>
    <t>A23.07.000.000.011</t>
  </si>
  <si>
    <t>Изоляция торуса</t>
  </si>
  <si>
    <t>A23.07.000.000.012</t>
  </si>
  <si>
    <t>Изготовление армированной дуги литой</t>
  </si>
  <si>
    <t>A23.07.000.000.013</t>
  </si>
  <si>
    <t>Изготовление фасетки литой (металлической)</t>
  </si>
  <si>
    <t>A23.07.000.000.014</t>
  </si>
  <si>
    <t>Изготовление базиса бюгельного протеза с пластмассовыми зубами</t>
  </si>
  <si>
    <t>A23.07.000.000.015</t>
  </si>
  <si>
    <t>Изготовление бюгельного каркаса</t>
  </si>
  <si>
    <t>A23.07.000.000.016</t>
  </si>
  <si>
    <t>Изготовление огнеупорной модели</t>
  </si>
  <si>
    <t>A23.07.000.000.017</t>
  </si>
  <si>
    <t>Изготовление литого базиса</t>
  </si>
  <si>
    <t>A23.07.000.000.018</t>
  </si>
  <si>
    <t>Изготовление кламмера Роуча</t>
  </si>
  <si>
    <t>A23.07.000.000.019</t>
  </si>
  <si>
    <t>Изготовление литого опорно-удерживающего кламмера</t>
  </si>
  <si>
    <t>A23.07.000.000.020</t>
  </si>
  <si>
    <t>Изготовление ограничителя базиса бюгельного протеза</t>
  </si>
  <si>
    <t>A23.07.000.000.021</t>
  </si>
  <si>
    <t>Изготовление седла бюгельного протеза</t>
  </si>
  <si>
    <t>A23.07.000.000.022</t>
  </si>
  <si>
    <t>Изготовление ответвления в бюгеле (компайдер)</t>
  </si>
  <si>
    <t>A23.07.000.000.023</t>
  </si>
  <si>
    <t>Изготовление фасетки в бюгельном протезе</t>
  </si>
  <si>
    <t>A23.07.000.000.024</t>
  </si>
  <si>
    <t>Изготовление зуба литого в бюгельном протезе</t>
  </si>
  <si>
    <t>A23.07.000.000.025</t>
  </si>
  <si>
    <t>Изготовление лапки шинирующей в бюгельном протезе</t>
  </si>
  <si>
    <t>A23.07.000.000.027</t>
  </si>
  <si>
    <t>Изготовление коронки цельнолитой</t>
  </si>
  <si>
    <t>A23.07.000.000.028</t>
  </si>
  <si>
    <t>Изготовление  коронки  металлоакриловой на цельнолитом каркасе</t>
  </si>
  <si>
    <t>A23.07.000.000.029</t>
  </si>
  <si>
    <t>Изготовление  коронки  пластмассовой</t>
  </si>
  <si>
    <t>A23.07.000.000.030</t>
  </si>
  <si>
    <t>Изготовление коронки металлической штампованной</t>
  </si>
  <si>
    <t>A23.07.000.000.031</t>
  </si>
  <si>
    <t>Изготовление комбинированной коронки</t>
  </si>
  <si>
    <t>A23.07.000.000.032</t>
  </si>
  <si>
    <t>Изготовление частичного съемного пластиночного протеза</t>
  </si>
  <si>
    <t>A23.07.000.000.046</t>
  </si>
  <si>
    <t>Изготовление эластической прокладки (лабораторный метод)</t>
  </si>
  <si>
    <t>A23.07.000.000.049</t>
  </si>
  <si>
    <t>Изготовление полного съемного пластинчатого протеза</t>
  </si>
  <si>
    <t>A23.07.000.000.051</t>
  </si>
  <si>
    <t>Изготовление коронки телескопической</t>
  </si>
  <si>
    <t>A23.07.000.000.060</t>
  </si>
  <si>
    <t>Изготовление одного элемента к съемной пластинке</t>
  </si>
  <si>
    <t>A23.07.000.000.061</t>
  </si>
  <si>
    <t>Изготовление аппарата Андрезена- Гойпля</t>
  </si>
  <si>
    <t>A23.07.000.000.062</t>
  </si>
  <si>
    <t>Изготовление аппарата Брюкля</t>
  </si>
  <si>
    <t>A23.07.000.000.063</t>
  </si>
  <si>
    <t>Изготовление аппарата Френкеля</t>
  </si>
  <si>
    <t>A23.07.000.000.064</t>
  </si>
  <si>
    <t>Изготовление боксерской шины</t>
  </si>
  <si>
    <t>A23.07.000.000.066</t>
  </si>
  <si>
    <t>Изготовление воскового валика</t>
  </si>
  <si>
    <t>A23.07.000.000.068</t>
  </si>
  <si>
    <t>Изготовление дуги вестибулярной</t>
  </si>
  <si>
    <t>A23.07.000.000.069</t>
  </si>
  <si>
    <t>Изготовление дуги вестибулярной с дополнительными изгибами</t>
  </si>
  <si>
    <t>A23.07.000.000.070</t>
  </si>
  <si>
    <t>Изготовление замкового крепления</t>
  </si>
  <si>
    <t>A23.07.000.000.071</t>
  </si>
  <si>
    <t>Изготовление звеньев</t>
  </si>
  <si>
    <t>A23.07.000.000.073</t>
  </si>
  <si>
    <t>Изготовление зуба металлоакрилового</t>
  </si>
  <si>
    <t>A23.07.000.000.074</t>
  </si>
  <si>
    <t>Изготовление зуба металлокерамического</t>
  </si>
  <si>
    <t>А23.07.000.000.076</t>
  </si>
  <si>
    <t>Изготовление зуба пластмассового сложного</t>
  </si>
  <si>
    <t>A23.07.000.000.077</t>
  </si>
  <si>
    <t>Изготовление зуба Рокотек, Тагрис, Артглас, Бельгласс</t>
  </si>
  <si>
    <t>A23.07.000.000.078</t>
  </si>
  <si>
    <t>Изготовление индивидуальной ложки</t>
  </si>
  <si>
    <t>A23.07.000.000.079</t>
  </si>
  <si>
    <t>Изготовление кламмера Адамса</t>
  </si>
  <si>
    <t>A23.07.000.000.080</t>
  </si>
  <si>
    <t>Изготовление кламмера гнутого из стальной проволоки</t>
  </si>
  <si>
    <t>A23.07.000.000.081</t>
  </si>
  <si>
    <t>Изготовление кламмера Джексона (кольцевого)</t>
  </si>
  <si>
    <t>A23.07.000.000.082</t>
  </si>
  <si>
    <t>Изготовление кольца ортодонтического</t>
  </si>
  <si>
    <t>A23.07.000.000.085</t>
  </si>
  <si>
    <t>Изготовление коронки бюгельной</t>
  </si>
  <si>
    <t>A23.07.000.000.088</t>
  </si>
  <si>
    <t>Изготовление коронки металлокерамической  (фарфоровой)</t>
  </si>
  <si>
    <t>A23.07.000.000.089</t>
  </si>
  <si>
    <t>Изготовление коронки ортодонтической</t>
  </si>
  <si>
    <t>A23.07.000.000.090</t>
  </si>
  <si>
    <t>Изготовление коронки Рокотек, Тагрис, Артглас, Бельгласс</t>
  </si>
  <si>
    <t>A23.07.000.000.094</t>
  </si>
  <si>
    <t>Изготовление окклюзионной накладки в мостовидном протезе</t>
  </si>
  <si>
    <t>A23.07.000.000.095</t>
  </si>
  <si>
    <t>Изготовление Осаму- ретейнера:  по Set- up</t>
  </si>
  <si>
    <t>A23.07.000.000.096</t>
  </si>
  <si>
    <t>Изготовление Осаму- ретейнера:  по стандартным моделям</t>
  </si>
  <si>
    <t>A23.07.000.000.098</t>
  </si>
  <si>
    <t>Изготовление пелота на металлическом каркасе</t>
  </si>
  <si>
    <t>A23.07.000.000.099</t>
  </si>
  <si>
    <t>Изготовление пластинки вестибулярной</t>
  </si>
  <si>
    <t>A23.07.000.000.100</t>
  </si>
  <si>
    <t>Изготовление пластинки с заслоном для языка (без кламмеров)</t>
  </si>
  <si>
    <t>A23.07.000.000.101</t>
  </si>
  <si>
    <t>Изготовление пластинки с окклюзионными накладками</t>
  </si>
  <si>
    <t>A23.07.000.000.102</t>
  </si>
  <si>
    <t>Изготовление позиционера:  по Set-up</t>
  </si>
  <si>
    <t>A23.07.000.000.103</t>
  </si>
  <si>
    <t>Изготовление позиционера:  по стандартным моделям</t>
  </si>
  <si>
    <t>A23.07.000.000.105</t>
  </si>
  <si>
    <t>Изготовление полного съемного протеза с фарфоровыми зубами</t>
  </si>
  <si>
    <t>A23.07.000.000.106</t>
  </si>
  <si>
    <t>Изготовление съемной пластинки из пластмассы без элементов (накусочной пластинки)</t>
  </si>
  <si>
    <t>A23.07.000.000.109</t>
  </si>
  <si>
    <t>Изготовление штифтовой конструкции</t>
  </si>
  <si>
    <t>A23.07.000.000.110</t>
  </si>
  <si>
    <t>Изготовление элайнера:  по Set- up</t>
  </si>
  <si>
    <t>A23.07.000.000.111</t>
  </si>
  <si>
    <t>Изготовление элайнера:  по стандартным моделям</t>
  </si>
  <si>
    <t>A23.07.000.000.120</t>
  </si>
  <si>
    <t>Изготовление частичного съемного протеза с фарфоровыми зубами</t>
  </si>
  <si>
    <t>A23.07.000.000.112</t>
  </si>
  <si>
    <t>Инжекция термопластической массы при изготовлении съемного протеза</t>
  </si>
  <si>
    <t>A23.07.000.000.035</t>
  </si>
  <si>
    <t>Перебазировка съемного протеза лабораторным методом</t>
  </si>
  <si>
    <t>A23.07.000.000.036</t>
  </si>
  <si>
    <t>Приварка одного кламмера</t>
  </si>
  <si>
    <t>A23.07.000.000.037</t>
  </si>
  <si>
    <t>Приварка двух кламмеров</t>
  </si>
  <si>
    <t>A23.07.000.000.038</t>
  </si>
  <si>
    <t>Приварка одного зуба</t>
  </si>
  <si>
    <t>A23.07.000.000.039</t>
  </si>
  <si>
    <t>Приварка двух зубов</t>
  </si>
  <si>
    <t>A23.07.000.000.040</t>
  </si>
  <si>
    <t>Приварка трёх зубов</t>
  </si>
  <si>
    <t>A23.07.000.000.041</t>
  </si>
  <si>
    <t>Приварка четырёх зубов</t>
  </si>
  <si>
    <t>A23.07.000.000.042</t>
  </si>
  <si>
    <t>Приварка одного зуба и одного кламмера</t>
  </si>
  <si>
    <t>A23.07.000.000.043</t>
  </si>
  <si>
    <t>Починка перелома базиса самотвердеющей пластмассой</t>
  </si>
  <si>
    <t>A23.07.000.000.044</t>
  </si>
  <si>
    <t>Починка двух переломов базиса самотвердеющей пластмассой</t>
  </si>
  <si>
    <t>A23.07.000.000.113</t>
  </si>
  <si>
    <t>Починка аппарата:  замена (крепление) двух элементов</t>
  </si>
  <si>
    <t>A23.07.000.000.114</t>
  </si>
  <si>
    <t>Починка аппарата:  замена элемента (крепление)</t>
  </si>
  <si>
    <t>A23.07.000.000.115</t>
  </si>
  <si>
    <t>Починка аппарата:  перелом базиса</t>
  </si>
  <si>
    <t>A23.07.000.000.116</t>
  </si>
  <si>
    <t>Спайка щечных трубок (одна)</t>
  </si>
  <si>
    <t>A23.07.000.000.117</t>
  </si>
  <si>
    <t>Установка винта</t>
  </si>
  <si>
    <t>A23.07.000.000.118</t>
  </si>
  <si>
    <t>Установка пружины</t>
  </si>
  <si>
    <t>A23.07.000.000.119</t>
  </si>
  <si>
    <t>Фрезерование</t>
  </si>
  <si>
    <t xml:space="preserve">Рентгенологические исследования </t>
  </si>
  <si>
    <t>А06.07.010.000.011.</t>
  </si>
  <si>
    <t>Физиотерапевтические методы лечения</t>
  </si>
  <si>
    <t>А17.07.002</t>
  </si>
  <si>
    <t>Физиотерапевтическое воздействие на челюстно-лицевую область</t>
  </si>
  <si>
    <t>А17.07.005</t>
  </si>
  <si>
    <t>Магнитотерапия при патологии полости рта и зубов</t>
  </si>
  <si>
    <t>А17.07.007</t>
  </si>
  <si>
    <t>Дарсонвализация при патологии полости рта</t>
  </si>
  <si>
    <t>А17.07.000.000.010</t>
  </si>
  <si>
    <t>Ультразвуковая обработка тканей полости рта взрослый и детский прием</t>
  </si>
  <si>
    <t>А22.07.003</t>
  </si>
  <si>
    <t>Лазерная физиотерапия челюстно–лицевой области</t>
  </si>
  <si>
    <t>А22.07.005</t>
  </si>
  <si>
    <t>Ультрафиолетовое облучение ротоглотки</t>
  </si>
  <si>
    <t>ФДТ аппаратом Fotosan 1 процедура</t>
  </si>
  <si>
    <t>Процедура «Депофорез»   (один канал)</t>
  </si>
  <si>
    <t xml:space="preserve">Применение гидроокиси меди кальция                                                                                </t>
  </si>
  <si>
    <t xml:space="preserve">Применение Убистезин  + игла  (карпульный  анестетик)                                                </t>
  </si>
  <si>
    <t xml:space="preserve">Применение Ультракаин ДS форте №100                                                                           </t>
  </si>
  <si>
    <t xml:space="preserve">Применение Метапекс, метапаста с гидроокисью кальция (для каналов)                      </t>
  </si>
  <si>
    <t xml:space="preserve">Использование при пломбировании каналов AH-темп </t>
  </si>
  <si>
    <t xml:space="preserve">Пломбирование каналов Акросил                                                                                 </t>
  </si>
  <si>
    <t>Пломбирование каналов Каласепт</t>
  </si>
  <si>
    <t>Использование при пломбировании каналов АШ ПЛЮС (США)</t>
  </si>
  <si>
    <t>Использование при пломбировании каналов штифтов анкерных</t>
  </si>
  <si>
    <t>Формирование прокладки из Фуджи – IX</t>
  </si>
  <si>
    <t xml:space="preserve">Формирование прокладки из Витремер  (светополимер)                                                </t>
  </si>
  <si>
    <t xml:space="preserve">Формирование прокладки из Филтек флоу  (светополимер ) </t>
  </si>
  <si>
    <t xml:space="preserve">Шинирование зубов Тетрик флоу (светополимер)                            </t>
  </si>
  <si>
    <t xml:space="preserve">Формирование пломбы зуба из Фуджи – IX </t>
  </si>
  <si>
    <t xml:space="preserve">Пломбирование каналов  цементом Атацамит кальция </t>
  </si>
  <si>
    <t xml:space="preserve">Применение при лечении зубов Глума Десенситизер                      </t>
  </si>
  <si>
    <t>Применение при лечении зубов Ретракционной нити   (1 доза– 2 см)</t>
  </si>
  <si>
    <t xml:space="preserve">Лечение десен Диплен -  пленкой </t>
  </si>
  <si>
    <t xml:space="preserve">Применение для для снятия чувствительности зубов геля,  1 зуб                                </t>
  </si>
  <si>
    <t xml:space="preserve">Отбеливание зубов Опалесценс Буст, 1 процедура                                 </t>
  </si>
  <si>
    <t xml:space="preserve">Применение при лечении зубов ГуттаКор № 25, и 30                                                                                </t>
  </si>
  <si>
    <t xml:space="preserve">Применение  для внутриканального отбеливания Опалесценс Эндо Кит,  1 доза          </t>
  </si>
  <si>
    <t xml:space="preserve">Применение при лечении геля  Глума конфорт-бонд                     </t>
  </si>
  <si>
    <t>Восстановление цвета и формы зуба при некариозных поражениях твердых тканей зубов  светоотверждаемыми композитами</t>
  </si>
  <si>
    <t>Проведение профессиональной гигиены одного зуба при заболеваниях пародонта</t>
  </si>
  <si>
    <t>Использование при пломбировании каналов штифт гуттаперчевый</t>
  </si>
  <si>
    <t xml:space="preserve">Использование при пломбировании каналов штифтов стекловолоконных </t>
  </si>
  <si>
    <t>Использование при пломбировании каналов стекловолоконных штифтов конусных</t>
  </si>
  <si>
    <t>Использование при пломбировании каналов стекловолоконных штифтов с головкой</t>
  </si>
  <si>
    <t>Шинирование зубов Дентапрег PFM (лента  *5см на группу от 3х зубов</t>
  </si>
  <si>
    <t>Формирование пломбы зуба из Филтек-Ультимэйт</t>
  </si>
  <si>
    <t>Льготная программа «Все включено» на комплекс процедур профилактического и оздоровляющего действия. Лечение заболеваний пародонта 1 сегмента.</t>
  </si>
  <si>
    <t>Восстановление одной единицы включенного дефекта зубного ряда с применением светополимеров  непрямым способом в области моляров</t>
  </si>
  <si>
    <t>Восстановление одной единицы включенного дефекта зубного ряда  с применением светополимеров непрямым способом в обл. премоляров</t>
  </si>
  <si>
    <t>Восстановление одной единицы включенного дефекта зубного ряда  с прим. светополимеров непрямым способом в обл. фронтальных зубов</t>
  </si>
  <si>
    <t>Восстановление одной единицы дефекта зубного ряда  с применением светополимеров прямым способом в области постоянных моляров</t>
  </si>
  <si>
    <t>Восстановление одной единицы дефекта зубного ряда с применением светополимеров прямым способом в области премоляров</t>
  </si>
  <si>
    <t>Восстановление одной единицы дефекта зубного ряда с применением светополимеров прямым способом в области фронтальных зубов</t>
  </si>
  <si>
    <t>Наложение пломбы из светополимера при поверхностном и среднем  кариесе цемента корня1, V класс по Блеку – линейная техника</t>
  </si>
  <si>
    <t>Наложение  пломбы из светополимера при поверхностном и среднем кариесе цемента корня   I, V класс по Блеку – сэндвич техника</t>
  </si>
  <si>
    <t>Наложение одной пломбы из светополимера при поверхностном и среднем кариесе II, III класс по Блеку – линейная техника</t>
  </si>
  <si>
    <t>Наложение одной пломбы из светополимера при поверхностном и среднем кариесе II, III класс по Блеку – сэндвич техника</t>
  </si>
  <si>
    <t>Наложение одной пломбы из  светополимера при поверхностном и среднем кариесе IV класс по Блеку – линейная техника</t>
  </si>
  <si>
    <t>Наложение одной пломбы из светополимера при поверхностном и среднем кариесе IV класс по Блеку – сэндвич техника</t>
  </si>
  <si>
    <t>Наложение  пломбы из композита химического отверждения  при поверхностном и среднем кариесе цемента корня I, V класс по Блеку</t>
  </si>
  <si>
    <t xml:space="preserve">позиция для применения по кассовому чеку </t>
  </si>
  <si>
    <t>Применение гидроокиси кальция</t>
  </si>
  <si>
    <t>Ортопантомография (чтение и описание1 снимка)</t>
  </si>
  <si>
    <t>Внутриротовая рентгенография в прикус (чтение и описание 1 снимка)</t>
  </si>
  <si>
    <t>Радиовизиография челюстно-лицевой области (чтение и описание 1 снимка)</t>
  </si>
  <si>
    <t>22КТ</t>
  </si>
  <si>
    <t>А06.30.002</t>
  </si>
  <si>
    <t>Описание и интерпритация КТ изображения</t>
  </si>
  <si>
    <t>А06.07.013.</t>
  </si>
  <si>
    <t>А06.03.002</t>
  </si>
  <si>
    <t>А06.08.007</t>
  </si>
  <si>
    <t>290.ОПГ</t>
  </si>
  <si>
    <t>Прием (осмотр, консультация) врача-стоматолога-терапевта на дому пациента</t>
  </si>
  <si>
    <t>290.КТ.ЧЕР</t>
  </si>
  <si>
    <t>290.КТ.НОС</t>
  </si>
  <si>
    <t>290.КТ.ЧЛО</t>
  </si>
  <si>
    <t>Использование при пломбировании каналов штифта Термафил (1*1 канал)</t>
  </si>
  <si>
    <t>Рентгенография челюстно-лицевой области (1 R-снимок зубов)</t>
  </si>
  <si>
    <t>Радиовизиография челюстно-лицевой области (1 снимок визиографом)</t>
  </si>
  <si>
    <t>Ортопантомография зубов (без квоты от ТФОМС)</t>
  </si>
  <si>
    <t>на 30.09.2019</t>
  </si>
  <si>
    <t>отклонение</t>
  </si>
  <si>
    <t xml:space="preserve">Виды работ на хирургическом приеме (без учета анестезии) </t>
  </si>
  <si>
    <t xml:space="preserve">на приеме врача-стоматолога-ортопеда  </t>
  </si>
  <si>
    <t xml:space="preserve">Виды работ на терапевтическом приеме        </t>
  </si>
  <si>
    <t xml:space="preserve">Шинирование зубов Филтек-флоу 1 доза =0,15 гр. </t>
  </si>
  <si>
    <t xml:space="preserve">Прочие виды </t>
  </si>
  <si>
    <t xml:space="preserve">Имплантация. Хирургический этап (ссумарная стоимость 1 ед.)                                                                </t>
  </si>
  <si>
    <t xml:space="preserve">Использование при лечении зубов      Глаума2Бонд </t>
  </si>
  <si>
    <t xml:space="preserve">Имплантация. Хирургический этап синуслифтинг + Церабон (Cerabone) - натуральный костный материал 0,5-1,0 mm 0,5 ml + Мембрана коллагеновая рассасывающаяся (перикард) Jason (Джейсон) 15х20 mm (ссумарная стоимость 1 ед.)                                                                </t>
  </si>
  <si>
    <t>4,3% на 01.10.2019</t>
  </si>
  <si>
    <t>увеличние +/-</t>
  </si>
  <si>
    <t xml:space="preserve">Комплексная гигиена полости рта  с фторированием для профилактики кариеса и минерального запечатывания поверхности зуба   (эмаль-герметизирующим ликвид)    </t>
  </si>
  <si>
    <t>290.КТ.1СЕГ</t>
  </si>
  <si>
    <t>А06.07.01</t>
  </si>
  <si>
    <t>309.1</t>
  </si>
  <si>
    <t xml:space="preserve">Пломбирование каналов Эндометазон   </t>
  </si>
  <si>
    <t>337.1</t>
  </si>
  <si>
    <t>Применение адгезивной самопротравливающей системы Бонд форс</t>
  </si>
  <si>
    <t>Использование  одноразового инструмента Оптра гейт для изоляции рабочего поля</t>
  </si>
  <si>
    <t>Применение таблеток антисептических для полоскания полости рта при проведении стоматологических процедур</t>
  </si>
  <si>
    <t>Профессиональная чистка зубов пастой Детартрин                                                                 дмс</t>
  </si>
  <si>
    <t>Плата на услуги, руб.  СЕЙЧАС</t>
  </si>
  <si>
    <t>Плата на услуги, руб.  БУДЕТ</t>
  </si>
  <si>
    <t>Плата на услуги, руб.  Без округления</t>
  </si>
  <si>
    <t>Пломбирование каналов Эндометазон                                                                        по дмс</t>
  </si>
  <si>
    <t>в среднем на 5,4%</t>
  </si>
  <si>
    <r>
      <t>к инфл2019 с окт по дек2019=</t>
    </r>
    <r>
      <rPr>
        <b/>
        <sz val="10"/>
        <rFont val="Times New Roman"/>
        <family val="1"/>
        <charset val="204"/>
      </rPr>
      <t>0,77</t>
    </r>
    <r>
      <rPr>
        <sz val="10"/>
        <rFont val="Times New Roman"/>
        <family val="1"/>
        <charset val="204"/>
      </rPr>
      <t xml:space="preserve">         к инфл2020 на окт =2,87</t>
    </r>
  </si>
  <si>
    <t>ПЕРЕЧЕНЬ
медицинских услуг (работ), предоставляемых гражданам    
   и юридическим лицам краевым государственным 
автономным учреждением здравоохранения                                                                                                                                                                                                                                                                                                        «Красноярская городская стоматологическая поликлиника № 8»</t>
  </si>
  <si>
    <t> Лечение гиперстезии зубов с применением  Флюокаль Солюшен </t>
  </si>
  <si>
    <t>Запечатывание фиссур зуба материалом стоматологическим для гермитизации зубов :эмаль гермитизирующий ликвид </t>
  </si>
  <si>
    <t>Формирование пломбы из "Харисма Опал Мастер  Кит", зуб 2, объем пломбы 1/2 зуба</t>
  </si>
  <si>
    <t>Формирование пломбы из «ЦЕРАМ ИКС МОНО», зуб 1, 3, объем пломбы 1/2 зуба</t>
  </si>
  <si>
    <t>Формирование пломбы из «ЦЕРАМ ИКС МОНО», з уб 4, 5, объем пломбы 1/2 зуба</t>
  </si>
  <si>
    <t>Формирование пломбы из «ЦЕРАМ ИКС МОНО», зуб 6, 7, объем пломбы 1/2 зуба</t>
  </si>
  <si>
    <t>Формирование пломбы из «ЦЕРАМ ИКС МОНО», зуб 8, объем пломбы 1/2 зуба</t>
  </si>
  <si>
    <t>Формирование пломбы из «ТЕТРИК Н ЦЕРАМ», зуб 1, 3, объем пломбы 1/2 зуба</t>
  </si>
  <si>
    <t>Формирование пломбы из «ТЕТРИК Н ЦЕРАМ», з уб 4, 5, объем пломбы 1/2 зуба</t>
  </si>
  <si>
    <t>Формирование пломбы из «ТЕТРИК Н ЦЕРАМ», зуб 6, 7, объем пломбы 1/2 зуба</t>
  </si>
  <si>
    <t>Формирование пломбы из «ТЕТРИК Н ЦЕРАМ», зуб 8, объем пломбы 1/2 зуба</t>
  </si>
  <si>
    <t>Формирование пломбы из «ХАРИЗМА КЛАССИК КОМБИ»,  зуб 2, объем пломбы 1/2 зуба</t>
  </si>
  <si>
    <t>Формирование пломбы из «ХАРИЗМА КЛАССИК КОМБИ», зуб 1, 3, объем пломбы 1/2 зуба</t>
  </si>
  <si>
    <t>Формирование пломбы из «ХАРИЗМА КЛАССИК КОМБИ», з уб 4, 5, объем пломбы 1/2 зуба</t>
  </si>
  <si>
    <t>Формирование пломбы из «ХАРИЗМА КЛАССИК КОМБИ», зуб 6, 7, объем пломбы 1/2 зуба</t>
  </si>
  <si>
    <t>Формирование пломбы из «ХАРИЗМА КЛАССИК КОМБИ», зуб 8, объем пломбы 1/2 зуба</t>
  </si>
  <si>
    <t>Формирование пломбы из «ХАРИСМА КОМБИ ГЛЮМА КОМФОРТ БОНД»,  зуб 2, объем пломбы 1/2 зуба</t>
  </si>
  <si>
    <t>Формирование пломбы из «ХАРИСМА КОМБИ ГЛЮМА КОМФОРТ БОНД», зуб 1, 3, объем пломбы 1/2 зуба</t>
  </si>
  <si>
    <t>Формирование пломбы из «ХАРИСМА КОМБИ ГЛЮМА КОМФОРТ БОНД», з уб 4, 5, объем пломбы 1/2 зуба</t>
  </si>
  <si>
    <t>Формирование пломбы из «ХАРИСМА КОМБИ ГЛЮМА КОМФОРТ БОНД», зуб 6, 7, объем пломбы 1/2 зуба</t>
  </si>
  <si>
    <t>Формирование пломбы из «ХАРИСМА КОМБИ ГЛЮМА КОМФОРТ БОНД», зуб 8, объем пломбы 1/2 зуба</t>
  </si>
  <si>
    <t>Формирование пломбы из "Harmonize" ("Гармонайз")»,  зуб 2, объем пломбы 1/2 зуба</t>
  </si>
  <si>
    <t>Формирование пломбы из "Harmonize" ("Гармонайз"), зуб 1, 3, объем пломбы 1/2 зуба</t>
  </si>
  <si>
    <t>Формирование пломбы из "Harmonize" ("Гармонайз"), з уб 4, 5, объем пломбы 1/2 зуба</t>
  </si>
  <si>
    <t>Формирование пломбы из "Harmonize" ("Гармонайз"), зуб 6, 7, объем пломбы 1/2 зуба</t>
  </si>
  <si>
    <t>Формирование пломбы из "Harmonize" ("Гармонайз"), зуб 8, объем пломбы 1/2 зуба</t>
  </si>
  <si>
    <t>Формирование пломбы из SDR,  зуб 2, объем пломбы 1/2 зуба</t>
  </si>
  <si>
    <t>Формирование пломбы из SDR, зуб 1, 3, объем пломбы 1/2 зуба</t>
  </si>
  <si>
    <t>Формирование пломбы из  SDR, зуб 4, 5, объем пломбы 1/2 зуба</t>
  </si>
  <si>
    <t>Формирование пломбы из SDR, зуб 6, 7, объем пломбы 1/2 зуба</t>
  </si>
  <si>
    <t>Формирование пломбы из «Эстелайт Сигма Кит»,,зуб 2, объем пломбы 1/2 зуба</t>
  </si>
  <si>
    <t>Формирование пломбы из «Эстелайт Сигма Кит»,,зуб 1, 3, объем пломбы 1/2 зуба</t>
  </si>
  <si>
    <t>Формирование пломбы из «Эстелайт Сигма Кит»,,зуб 4, 5, объем пломбы 1/2 зуба</t>
  </si>
  <si>
    <t>Формирование пломбы из «Эстелайт Сигма Кит»,,зуб 6, 7, объем пломбы 1/2 зуба</t>
  </si>
  <si>
    <t>Формирование пломбы из «Эстелайт Сигма Кит»,,зуб 8, объем пломбы 1/2 зуба</t>
  </si>
  <si>
    <t>Формирование пломбы из «Эстелайт Палфик», зуб 2, объем пломбы 1/2 зуба</t>
  </si>
  <si>
    <t>Формирование пломбы из «Эстелайт Палфик», зуб 1, 3, объем пломбы 1/2 зуба</t>
  </si>
  <si>
    <t>Формирование пломбы из «Эстелайт Палфик», зуб 4, 5, объем пломбы 1/2 зуба</t>
  </si>
  <si>
    <t>Формирование пломбы из «Эстелайт Палфик», зуб 6, 7, объем пломбы 1/2 зуба</t>
  </si>
  <si>
    <t>Формирование пломбы из «Эстелайт Палфик», зуб 8, объем пломбы 1/2 зуба</t>
  </si>
  <si>
    <t>Формирование пломбы из "Карисма Даймонд Мастер Кит", зуб 2, объем пломбы 1/2 зуба</t>
  </si>
  <si>
    <t>Формирование пломбы из "Карисма Даймонд Мастер Кит", зуб 1, 3, объем пломбы 1/2 зуба</t>
  </si>
  <si>
    <t>Формирование пломбы из "Карисма Даймонд Мастер Кит", зуб 4, 5, объем пломбы 1/2 зуба</t>
  </si>
  <si>
    <t>Формирование пломбы из "Карисма Даймонд Мастер Кит", зуб 6, 7, объем пломбы 1/2 зуба</t>
  </si>
  <si>
    <t>Формирование пломбы из "Карисма Даймонд Мастер Кит", зуб 8, объем пломбы 1/2 зуба</t>
  </si>
  <si>
    <t>Формирование пломбы из «Геркулайт Дженерал Кит», зуб 2, объем пломбы 1/2 зуба</t>
  </si>
  <si>
    <t>Формирование пломбы из «Геркулайт Дженерал Кит», зуб 1, 3, объем пломбы 1/2 зуба</t>
  </si>
  <si>
    <t>Формирование пломбы из «Геркулайт Дженерал Кит», зуб 4, 5, объем пломбы 1/2 зуба</t>
  </si>
  <si>
    <t>Формирование пломбы из «Геркулайт Дженерал Кит», зуб 6, 7, объем пломбы 1/2 зуба</t>
  </si>
  <si>
    <t>Формирование пломбы из «Геркулайт Дженерал Кит», зуб 8, объем пломбы 1/2 зуба</t>
  </si>
  <si>
    <t>Формирование пломбы из "Витример", зуб 2, объем пломбы 1/2 зуба</t>
  </si>
  <si>
    <t>Формирование пломбы из "Витример", зуб 1, 3, объем пломбы 1/2 зуба</t>
  </si>
  <si>
    <t>Формирование пломбы из "Витример", зуб 4, 5, объем пломбы 1/2 зуба</t>
  </si>
  <si>
    <t>Формирование пломбы из "Витример", зуб 6, 7, объем пломбы 1/2 зуба</t>
  </si>
  <si>
    <t>Формирование пломбы из "Витример", зуб 8, объем пломбы 1/2 зуба</t>
  </si>
  <si>
    <t>Формирование пломбы из "Филтек Z-250" зуб 2, объем пломбы 1/2 зуба</t>
  </si>
  <si>
    <t>Формирование пломбы из "Филтек Z-250" зуб 1, 3, объем пломбы 1/2 зуба</t>
  </si>
  <si>
    <t>Формирование пломбы из "Филтек Z-250" зуб 4, 5, объем пломбы 1/2 зуба</t>
  </si>
  <si>
    <t>Формирование пломбы из "Филтек Z-250" зуб 6, 7, объем пломбы 1/2 зуба</t>
  </si>
  <si>
    <t>Формирование пломбы из "Филтек Z-250" зуб 8, объем пломбы 1/2 зуба</t>
  </si>
  <si>
    <t>Формирование пломбы из "Филтек-Ультимэйт" зуб 2, объем пломбы 1/2 зуба</t>
  </si>
  <si>
    <t>Формирование пломбы из "Филтек-Ультимэйт" зуб 1, 3, объем пломбы 1/2 зуба</t>
  </si>
  <si>
    <t>Формирование пломбы из "Филтек-Ультимэйт" зуб 4, 5, объем пломбы 1/2 зуба</t>
  </si>
  <si>
    <t>Формирование пломбы из "Филтек-Ультимэйт" зуб 6, 7, объем пломбы 1/2 зуба</t>
  </si>
  <si>
    <t>Формирование пломбы из "Филтек-Ультимэйт" зуб 8, объем пломбы 1/2 зуба</t>
  </si>
  <si>
    <t>Формирование пломбы из "Харисма Опал Мастер  Кит", зуб 1, 3, объем пломбы 1/2 зуба</t>
  </si>
  <si>
    <t>Формирование пломбы из "Харисма Опал Мастер  Кит", зуб 4, 5, объем пломбы 1/2 зуба</t>
  </si>
  <si>
    <t>Формирование пломбы из "Харисма Опал Мастер  Кит", зуб 6, 7, объем пломбы 1/2 зуба</t>
  </si>
  <si>
    <t>Формирование пломбы из "Харисма Опал Мастер  Кит", зуб 8, объем пломбы 1/2 зуба</t>
  </si>
  <si>
    <t>Формирование пломбы из «ЦЕРАМ ИКС МОНО»,  зуб 2, объем пломбы 1/2 зуба</t>
  </si>
  <si>
    <t>Формирование пломбы из SDR, зуб 8, объем пломбы 1/2 зуба</t>
  </si>
  <si>
    <t>Формирование пломбы из «Эстелайт Сигма Кит»,,зуб 2, объем пломбы более 1/2 зуба</t>
  </si>
  <si>
    <t>Формирование пломбы из «Эстелайт Сигма Кит»,,зуб 1, 3, объем пломбы более 1/2 зуба</t>
  </si>
  <si>
    <t>Формирование пломбы из «Эстелайт Сигма Кит»,,зуб 4, 5, объем пломбы более 1/2 зуба</t>
  </si>
  <si>
    <t>Формирование пломбы из «Эстелайт Сигма Кит»,,зуб 6, 7, объем пломбы более 1/2 зуба</t>
  </si>
  <si>
    <t>Формирование пломбы из «Эстелайт Сигма Кит»,,зуб 8, объем пломбы более 1/2 зуба</t>
  </si>
  <si>
    <t>Формирование пломбы из «Эстелайт Палфик», зуб 2, объем пломбы более 1/2 зуба</t>
  </si>
  <si>
    <t>Формирование пломбы из «Эстелайт Палфик», зуб 1, 3, объем пломбы более 1/2 зуба</t>
  </si>
  <si>
    <t>Формирование пломбы из «Эстелайт Палфик», зуб 4, 5, объем пломбы более 1/2 зуба</t>
  </si>
  <si>
    <t>Формирование пломбы из «Эстелайт Палфик», зуб 6, 7, объем пломбы более 1/2 зуба</t>
  </si>
  <si>
    <t>Формирование пломбы из «Эстелайт Палфик», зуб 8, объем пломбы более 1/2 зуба</t>
  </si>
  <si>
    <t>Формирование пломбы из "Карисма Даймонд Мастер Кит", зуб 2, объем пломбы более 1/2 зуба</t>
  </si>
  <si>
    <t>Формирование пломбы из "Карисма Даймонд Мастер Кит", зуб 1, 3, объем пломбы более 1/2 зуба</t>
  </si>
  <si>
    <t>Формирование пломбы из "Карисма Даймонд Мастер Кит", зуб 4, 5, объем пломбы более 1/2 зуба</t>
  </si>
  <si>
    <t>Формирование пломбы из "Карисма Даймонд Мастер Кит", зуб 6, 7, объем пломбы более 1/2 зуба</t>
  </si>
  <si>
    <t>Формирование пломбы из "Карисма Даймонд Мастер Кит", зуб 8, объем пломбы более 1/2 зуба</t>
  </si>
  <si>
    <t>Формирование пломбы из «Геркулайт Дженерал Кит», зуб 2, объем пломбы более 1/2 зуба</t>
  </si>
  <si>
    <t>Формирование пломбы из «Геркулайт Дженерал Кит», зуб 1, 3, объем пломбы более 1/2 зуба</t>
  </si>
  <si>
    <t>Формирование пломбы из «Геркулайт Дженерал Кит», зуб 4, 5, объем пломбы более 1/2 зуба</t>
  </si>
  <si>
    <t>Формирование пломбы из «Геркулайт Дженерал Кит», зуб 6, 7, объем пломбы более 1/2 зуба</t>
  </si>
  <si>
    <t>Формирование пломбы из «Геркулайт Дженерал Кит», зуб 8, объем пломбы более 1/2 зуба</t>
  </si>
  <si>
    <t>Формирование пломбы из "Витример", зуб 2, объем пломбы более 1/2 зуба</t>
  </si>
  <si>
    <t>Формирование пломбы из "Витример", зуб 1, 3, объем пломбы более 1/2 зуба</t>
  </si>
  <si>
    <t>Формирование пломбы из "Витример", зуб 4, 5, объем пломбы более 1/2 зуба</t>
  </si>
  <si>
    <t>Формирование пломбы из "Витример", зуб 6, 7, объем пломбы более 1/2 зуба</t>
  </si>
  <si>
    <t>Формирование пломбы из "Витример", зуб 8, объем пломбы более 1/2 зуба</t>
  </si>
  <si>
    <t>Формирование пломбы из "Филтек Z-250" зуб 2, объем пломбы более 1/2 зуба</t>
  </si>
  <si>
    <t>Формирование пломбы из "Филтек Z-250" зуб 1, 3, объем пломбы более 1/2 зуба</t>
  </si>
  <si>
    <t>Формирование пломбы из "Филтек Z-250" зуб 4, 5, объем пломбы более 1/2 зуба</t>
  </si>
  <si>
    <t>Формирование пломбы из "Филтек Z-250" зуб 6, 7, объем пломбы более 1/2 зуба</t>
  </si>
  <si>
    <t>Формирование пломбы из "Филтек Z-250" зуб 8, объем пломбы более 1/2 зуба</t>
  </si>
  <si>
    <t>Формирование пломбы из "Филтек-Ультимэйт" зуб 2, объем пломбы более 1/2 зуба</t>
  </si>
  <si>
    <t>Формирование пломбы из "Филтек-Ультимэйт" зуб 1, 3, объем пломбы более 1/2 зуба</t>
  </si>
  <si>
    <t>Формирование пломбы из "Филтек-Ультимэйт" зуб 4, 5, объем пломбы более 1/2 зуба</t>
  </si>
  <si>
    <t>Формирование пломбы из "Филтек-Ультимэйт" зуб 6, 7, объем пломбы более 1/2 зуба</t>
  </si>
  <si>
    <t>Формирование пломбы из "Филтек-Ультимэйт" зуб 8, объем пломбы более 1/2 зуба</t>
  </si>
  <si>
    <t>Формирование пломбы из "Харисма Опал Мастер  Кит", зуб 2, объем пломбы более 1/2 зуба</t>
  </si>
  <si>
    <t>Формирование пломбы из "Харисма Опал Мастер  Кит", зуб 1, 3, объем пломбы более 1/2 зуба</t>
  </si>
  <si>
    <t>Формирование пломбы из "Харисма Опал Мастер  Кит", зуб 4, 5, объем пломбы более 1/2 зуба</t>
  </si>
  <si>
    <t>Формирование пломбы из "Харисма Опал Мастер  Кит", зуб 6, 7, объем пломбы более 1/2 зуба</t>
  </si>
  <si>
    <t>Формирование пломбы из "Харисма Опал Мастер  Кит", зуб 8, объем пломбы более 1/2 зуба</t>
  </si>
  <si>
    <t>Формирование пломбы из «ЦЕРАМ ИКС МОНО»,,зуб 2, объем пломбы более 1/2 зуба</t>
  </si>
  <si>
    <t>Формирование пломбы из «ЦЕРАМ ИКС МОНО», зуб 1, 3, объем пломбы более 1/2 зуба</t>
  </si>
  <si>
    <t>Формирование пломбы из «ЦЕРАМ ИКС МОНО», зуб 4, 5, объем пломбы более 1/2 зуба</t>
  </si>
  <si>
    <t>Формирование пломбы из «ЦЕРАМ ИКС МОНО», зуб 6, 7, объем пломбы более 1/2 зуба</t>
  </si>
  <si>
    <t>Формирование пломбы из «ЦЕРАМ ИКС МОНО», зуб 8, объем пломбы более 1/2 зуба</t>
  </si>
  <si>
    <t>Формирование пломбы из «ТЕТРИК Н ЦЕРАМ»,,зуб 2, объем пломбы более 1/2 зуба</t>
  </si>
  <si>
    <t>Формирование пломбы из «ТЕТРИК Н ЦЕРАМ», зуб 1, 3, объем пломбы более 1/2 зуба</t>
  </si>
  <si>
    <t>Формирование пломбы из «ТЕТРИК Н ЦЕРАМ», зуб 4, 5, объем пломбы более 1/2 зуба</t>
  </si>
  <si>
    <t>Формирование пломбы из «ТЕТРИК Н ЦЕРАМ», зуб 6, 7, объем пломбы более 1/2 зуба</t>
  </si>
  <si>
    <t>Формирование пломбы из «ТЕТРИК Н ЦЕРАМ», зуб 8, объем пломбы более 1/2 зуба</t>
  </si>
  <si>
    <t>Формирование пломбы из «ХАРИЗМА КЛАССИК КОМБИ»,зуб 2, объем пломбы более 1/2 зуба</t>
  </si>
  <si>
    <t>Формирование пломбы из «ХАРИЗМА КЛАССИК КОМБИ», зуб 1, 3, объем пломбы более 1/2 зуба</t>
  </si>
  <si>
    <t>Формирование пломбы из «ХАРИЗМА КЛАССИК КОМБИ», зуб 4, 5, объем пломбы более 1/2 зуба</t>
  </si>
  <si>
    <t>Формирование пломбы из «ХАРИЗМА КЛАССИК КОМБИ», зуб 6, 7, объем пломбы более 1/2 зуба</t>
  </si>
  <si>
    <t>Формирование пломбы из «ХАРИЗМА КЛАССИК КОМБИ», зуб 8, объем пломбы более 1/2 зуба</t>
  </si>
  <si>
    <t>Формирование пломбы из «ХАРИСМА КОМБИ ГЛЮМА КОМФОРТ БОНД»,зуб 2, объем пломбы более 1/2 зуба</t>
  </si>
  <si>
    <t>Формирование пломбы из «ХАРИСМА КОМБИ ГЛЮМА КОМФОРТ БОНД», зуб 1, 3, объем пломбы более 1/2 зуба</t>
  </si>
  <si>
    <t>Формирование пломбы из «ХАРИСМА КОМБИ ГЛЮМА КОМФОРТ БОНД», зуб 4, 5, объем пломбы более 1/2 зуба</t>
  </si>
  <si>
    <t>Формирование пломбы из «ХАРИСМА КОМБИ ГЛЮМА КОМФОРТ БОНД», зуб 6, 7, объем пломбы более 1/2 зуба</t>
  </si>
  <si>
    <t>Формирование пломбы из «ХАРИСМА КОМБИ ГЛЮМА КОМФОРТ БОНД», зуб 8, объем пломбы более 1/2 зуба</t>
  </si>
  <si>
    <t>Формирование пломбы из "Harmonize" ("Гармонайз"),зуб 2, объем пломбы более 1/2 зуба</t>
  </si>
  <si>
    <t>Формирование пломбы из "Harmonize" ("Гармонайз"), зуб 1, 3, объем пломбы более 1/2 зуба</t>
  </si>
  <si>
    <t>Формирование пломбы из "Harmonize" ("Гармонайз"), зуб 4, 5, объем пломбы более 1/2 зуба</t>
  </si>
  <si>
    <t>Формирование пломбы из"Harmonize" ("Гармонайз"), зуб 6, 7, объем пломбы более 1/2 зуба</t>
  </si>
  <si>
    <t>Формирование пломбы из "Harmonize" ("Гармонайз"), зуб 8, объем пломбы более 1/2 зуба</t>
  </si>
  <si>
    <t>Формирование пломбы из SDR, зуб 1, 3, объем пломбы более 1/2 зуба</t>
  </si>
  <si>
    <t>Формирование пломбы из SDR, зуб 4, 5, объем пломбы более 1/2 зуба</t>
  </si>
  <si>
    <t>Формирование пломбы из SDR, зуб 6, 7, объем пломбы более 1/2 зуба</t>
  </si>
  <si>
    <t>Формирование пломбы из  SDR, зуб 8, объем пломбы более 1/2 зуба</t>
  </si>
  <si>
    <t>Применение Ультракаин ДS форте №100                                                                           дмс</t>
  </si>
  <si>
    <t>Компьютерная томография лицевого отдела черепа (КТ)</t>
  </si>
  <si>
    <t>Компьютерная томография придаточных пазух носа (КТ)</t>
  </si>
  <si>
    <t>Компьютерная томография челюстно-лицевой области (КТ)</t>
  </si>
  <si>
    <t>Компьютерная томография в области одного сегмента (КТ)</t>
  </si>
  <si>
    <t>Ортопанография зубов (1 панарамный снимок, по направлению из других МО по  квоте, ТФОМС )</t>
  </si>
  <si>
    <t>Формирование пломбы из «ТЕТРИК Н ЦЕРАМ»,  зуб 2, объем пломбы 1/2 зуба</t>
  </si>
  <si>
    <t>547.1</t>
  </si>
  <si>
    <t xml:space="preserve">                          </t>
  </si>
  <si>
    <t xml:space="preserve">Комплексная гигиена полости рта  с фторированием для профилактики кариеса и минерального запечатывания поверхности зуба   (эмаль-герметизирующим ликвид)   за 1 зуб </t>
  </si>
  <si>
    <t>А22.07.001</t>
  </si>
  <si>
    <t>А22.30.009</t>
  </si>
  <si>
    <t>Плазмодинамическое воздействие, плазмолифтинг десен (PRF), 1 пробирка</t>
  </si>
  <si>
    <t>Плазмодинамическое воздействие, плазмолифтинг десен (PRF), 2 пробирки</t>
  </si>
  <si>
    <t>Ультразвуковая обработка пародонтального кармана в области зуба.  Лечение десен аппаратом Vektor (заболеваний парадонта - гингивит, пародонтит).</t>
  </si>
  <si>
    <t>Использование костно-замещающих материалов  при оперативных вмешательствах в ЧЛО Bio-oss (биоосс)  0,25-1,0 mm /уп. 0,5 *1    Швейцария 20.10.2021</t>
  </si>
  <si>
    <t>Использование костно-замещающих материалов  при оперативных вмешательствах в ЧЛО Bio-oss костный заменитель (биоосс)  0,25-1,0 mm /уп. 0,5*2    Швейцария 20.10.2021</t>
  </si>
  <si>
    <t>Использование костно-замещающих материалов  при оперативных вмешательствах в ЧЛО Bio-oss костный заменитель (биоосс)  0,25-1,0 mm /уп. 0,5*3    Швейцария 20.10.2021</t>
  </si>
  <si>
    <t>Наложение швов  хирургическим   материалом  «Гликолон «(glycolon) 1шт 70см Германия 18.10.2021</t>
  </si>
  <si>
    <t>Лечение альвеолита, наложение  хирургической, альвеолярной повязки  с применением пасты  Alveogyl 10г-  10гр- Франция 18.10.2021</t>
  </si>
  <si>
    <t>Применение дентальных конусов  PARASORB Cone при оперативных вмешательствах в ЧЛО  1,2см*1,6см*10шт   Германия 18.10.2021</t>
  </si>
  <si>
    <t>Утверждаю:</t>
  </si>
  <si>
    <t>И.В. Бабич</t>
  </si>
  <si>
    <t>Калькуляция стоимости  материалов в КГАУЗ "КГСП№8"</t>
  </si>
  <si>
    <t>№ п/п</t>
  </si>
  <si>
    <t>наименование материала</t>
  </si>
  <si>
    <t>стоимость коробки, флакона, уп. и т.д.               (в руб.)</t>
  </si>
  <si>
    <t>вес в гр. или  мл., длинна в см, к-во в штуках</t>
  </si>
  <si>
    <t>расход на мин./пломбу, работу-без учета на подбор цвета,  потери при формир.пл. и др. (в гр, мл,шт. и т.д.)</t>
  </si>
  <si>
    <t>число выходных ед.или услуг без учета потерь и увеличения расхода на объем</t>
  </si>
  <si>
    <t>потери на: подбор цвета,  замес, формир-е контура и высоты  пломбы (полировку,пришлифовку) и т.п.</t>
  </si>
  <si>
    <t xml:space="preserve">ИТОГО: макс. число выходных минимальных ед.или услуг </t>
  </si>
  <si>
    <t>базовая стоимость 1 работы        (в руб.)</t>
  </si>
  <si>
    <t>увел. стоимости за счет дополнит. затрат труда вызванных использ-м методик (технологий) по работе с мат-м,за   сложность и напряженность                 ( в %)</t>
  </si>
  <si>
    <t>рентабельность</t>
  </si>
  <si>
    <t>цена       1 ед.       (в руб.)</t>
  </si>
  <si>
    <t>Опалесценс Эндо Кит (внутриканальное отбеливание 20 доз)   02.12.2015</t>
  </si>
  <si>
    <t>см.спец/ табл. для светопол. по УИЗ</t>
  </si>
  <si>
    <t xml:space="preserve">Гель для снятия чувствительности УЛЬТРА ЭЗ    4шпр*1,2мл расчет зубов </t>
  </si>
  <si>
    <t>Опалесценс  (отбеливание зубов 6 доз) 2*1,2     1*1,2 10 насадок</t>
  </si>
  <si>
    <t>Филтек (светополимер - пломба)</t>
  </si>
  <si>
    <t>Филтек  Z-250;  550              30.01.2015</t>
  </si>
  <si>
    <t>Церам х мона</t>
  </si>
  <si>
    <t>Церам икс Сфера Тек Уан Юниверсал (6*3)</t>
  </si>
  <si>
    <t>нет</t>
  </si>
  <si>
    <t>Филтек  Z-250 06.11.2013</t>
  </si>
  <si>
    <t>Филтек  СОГАЗ 26.09.2014</t>
  </si>
  <si>
    <t>Филтек  Z-250 (8шпр*4гр) 08.08.2013</t>
  </si>
  <si>
    <t>Филтек суприм</t>
  </si>
  <si>
    <t xml:space="preserve">САПФИР комби Кит светополимер (8шпр*4,0, 2,5мл бонд, 5 мл активатор) </t>
  </si>
  <si>
    <t>Тетрик флоу (светополимер - светополимер - для шинирования зубов) 08.08.2013</t>
  </si>
  <si>
    <t>Тетрик флоу (светополимер - для шинирования зубов) 18.12.2017</t>
  </si>
  <si>
    <t>Тетрик Н церам (светополимер - светополимер - для пломбированиязубов) 18.12.2017</t>
  </si>
  <si>
    <t>Филтек -Флоу (светополимер - светополимер - для шинирования зубов) ДЛЯ ПАРАДОНТА</t>
  </si>
  <si>
    <t>Филтек -Флоу (светополимер - светополимер - прокладка)</t>
  </si>
  <si>
    <t>Филтек -Ультимэйт          11.03.2015</t>
  </si>
  <si>
    <t>Филтек -Ультимэйт       03.03.2016</t>
  </si>
  <si>
    <t>Филтек -Ультимэйт    02.11.2020</t>
  </si>
  <si>
    <t>Филтек -Ультимэйт          30.01.2015</t>
  </si>
  <si>
    <t>Юнифил (пломба)</t>
  </si>
  <si>
    <t>Фуджи -9  (пломба)  30.01.2015</t>
  </si>
  <si>
    <t>Фуджи -9  (пломба) 03.03.2016 15*3+2*8</t>
  </si>
  <si>
    <r>
      <t>Фуджи</t>
    </r>
    <r>
      <rPr>
        <b/>
        <sz val="8"/>
        <rFont val="Rockwell"/>
        <family val="1"/>
      </rPr>
      <t>II</t>
    </r>
    <r>
      <rPr>
        <b/>
        <sz val="8"/>
        <rFont val="Arial Cyr"/>
        <charset val="204"/>
      </rPr>
      <t xml:space="preserve">(светополимер -прокладка) </t>
    </r>
  </si>
  <si>
    <t>Кетак молар (пломба)</t>
  </si>
  <si>
    <t>Кетак молар (прокладка)</t>
  </si>
  <si>
    <t>Дегуфил (пломба)</t>
  </si>
  <si>
    <t>Харисма химическая (пломба)</t>
  </si>
  <si>
    <t>Харизма Даймонд Мастер Кит (10 шпр*4гр.) 30.01.2015</t>
  </si>
  <si>
    <t>Харизма Опал Мастер Кит (10 шпр*4гр.) 03.03.2016</t>
  </si>
  <si>
    <t>Харизма Опал Мастер Кит (10 шпр*4гр.) 12.01.2016</t>
  </si>
  <si>
    <t>Харизма Комби глюма комфорт бонд (8 шпр*4гр.) 21.03.2018</t>
  </si>
  <si>
    <t>Харизма КАССИК Комби   (8 шпр*4гр.) 21.03.2018</t>
  </si>
  <si>
    <t>Harmonize (Гармонайз) - универсальный наногибридный композит  ART.  KERR, США. от 02.03.2020    8 шпр*4гр.</t>
  </si>
  <si>
    <t xml:space="preserve">Геркулайт(пломба) </t>
  </si>
  <si>
    <t>Кемфил (пломба)</t>
  </si>
  <si>
    <t>Глаума Десентитизер (прокладка)</t>
  </si>
  <si>
    <t>Глаума Конфорт бонд (прокладка)</t>
  </si>
  <si>
    <t>Глаума2Бонд 02.03.2020</t>
  </si>
  <si>
    <t>Бонд форс 5мл 09.02.2021</t>
  </si>
  <si>
    <t xml:space="preserve">Акросеал (каналы) </t>
  </si>
  <si>
    <t>Акросеал (каналы)  7.04.2017</t>
  </si>
  <si>
    <t>Форфенан 20гр+10мл+10мл(каналы) 19.08.2013</t>
  </si>
  <si>
    <t>Эндометазон (каналы)09.02.2021</t>
  </si>
  <si>
    <t>Canasjn (канасон)</t>
  </si>
  <si>
    <t>Кемфил (прокладка)</t>
  </si>
  <si>
    <t>Лика (прокладка) от 28.02.07</t>
  </si>
  <si>
    <r>
      <t xml:space="preserve">Иодо-гликоль паста нео </t>
    </r>
    <r>
      <rPr>
        <b/>
        <sz val="7"/>
        <rFont val="Arial Cyr"/>
        <charset val="204"/>
      </rPr>
      <t>(лечение карманов)08.05.207</t>
    </r>
  </si>
  <si>
    <t>Гласпан(лента шинирующая 4 ленты*27см=108см на группу из 3х зубов=3.5 см</t>
  </si>
  <si>
    <r>
      <t xml:space="preserve">Иодо-гликоль паста нео </t>
    </r>
    <r>
      <rPr>
        <b/>
        <sz val="7"/>
        <rFont val="Arial Cyr"/>
        <charset val="204"/>
      </rPr>
      <t>(лечение карманов) 14.09.2011.05.208</t>
    </r>
    <r>
      <rPr>
        <sz val="10"/>
        <rFont val="Arial Cyr"/>
        <charset val="204"/>
      </rPr>
      <t/>
    </r>
  </si>
  <si>
    <t>Витапекс (каналы)</t>
  </si>
  <si>
    <t>Метапекс (каналы)</t>
  </si>
  <si>
    <t xml:space="preserve">Каласепт (Швеция) каналы </t>
  </si>
  <si>
    <t>AH TEMP каналы 4шпр*0,75мл</t>
  </si>
  <si>
    <t>Лайф (прокладка)</t>
  </si>
  <si>
    <t>Сеалопекс (каналы)</t>
  </si>
  <si>
    <t>Масло чайного дерева</t>
  </si>
  <si>
    <t>Метрогель Дента (гель для десен)</t>
  </si>
  <si>
    <t>Метрогель Дента (гель для десен) апликация на группу зубов</t>
  </si>
  <si>
    <t xml:space="preserve">Диплен -ЛХ; М; ХД; С; Г; Л  пленка для леч-я десен (1 шт)  </t>
  </si>
  <si>
    <t>Гидроокись кальция (для обработки каналов - методика "Депофорез")30.01.2015</t>
  </si>
  <si>
    <t xml:space="preserve">Гидроокисьмеди кальция ("Депофорез")30.01.2015 </t>
  </si>
  <si>
    <t>Атациамид кальция ("Депоферез")</t>
  </si>
  <si>
    <t xml:space="preserve">Артикаин (100карпул без игл) </t>
  </si>
  <si>
    <t>Септонест (50 карпул )  06.11.2013</t>
  </si>
  <si>
    <t>Септонест (50 карпул без игл) 30.01.2015</t>
  </si>
  <si>
    <t>Штифт гутаперчивый</t>
  </si>
  <si>
    <t>Ультракаин ДС Форте №100 02.11.2020</t>
  </si>
  <si>
    <t>Штифт гутаперчивый конусный 12.04.2017</t>
  </si>
  <si>
    <t>Стеклоиномерный штифт 03.03.2016</t>
  </si>
  <si>
    <t xml:space="preserve">Стеклоиномерный штифт </t>
  </si>
  <si>
    <t>Анкер</t>
  </si>
  <si>
    <t>Стекловолоконные штифт 30.01.2015</t>
  </si>
  <si>
    <t>ДЕНТАПРЕГ PFM (лента шинирующая 1 ленты*5см=108см на группу из 3х зубов=3.5 см 18.12.2017</t>
  </si>
  <si>
    <t>Стекловолоконные штифт конусный 18.12.2017</t>
  </si>
  <si>
    <t>Стекловолоконные штифт с головкой18.12.2017</t>
  </si>
  <si>
    <t>Термофил  (штифт)  6 шт 05.04.2013</t>
  </si>
  <si>
    <t>Термофил 30.01.2015</t>
  </si>
  <si>
    <t>ИМПЛАНТ  25.05.2018</t>
  </si>
  <si>
    <t>К ИМПЛАНТУ + ФОРМИРОВАТЕЛЬ ДЕСНЫ 25.05.2018</t>
  </si>
  <si>
    <t>Система стоматологических имплантов Ts временный абатмен (Temporaru Abutment) (№ 10005030/110717/0021032, Корея) 29.01.2019</t>
  </si>
  <si>
    <t xml:space="preserve">Система стоматологических имплантов Ts временный абатмен (Abutment Transfer) (№ 10005030/171218/0049339, Корея) 29.01.2019 </t>
  </si>
  <si>
    <t xml:space="preserve">Система стоматологических имплантов Ts комплект ретенционного колпачка  J-ring Retainer Cap Set (№ 10005030/1231118/0043347, Корея) 29.01.2019 </t>
  </si>
  <si>
    <t xml:space="preserve">Система стоматологических имплантов Ts лабораторный аналог Fixture Lab Analog  J-ring Retainer Cap Set (№ 10005030/1231118/0039291, Корея) 29.01.2019 </t>
  </si>
  <si>
    <t xml:space="preserve">Комплекты для установки стоматологических имплантов TS Абатмены GuickTemporaru TSGTA4550TH (№ 10005030/150817/0025018, Корея) 29.01.2019 </t>
  </si>
  <si>
    <t>Ручной ключ Hand Dtiver (№ 10005030/070918/0033592) Инструменты и приспособления для установки стоматологических имплантов, в наборах и отдельных упаковках. Набор Prosthetic. Корея. 29.01.2019</t>
  </si>
  <si>
    <t>Ключ Торка для динамометрического ключа Torgue Driver for Torgue  Wrench(№ 10005030/161018/0039291) Инструменты и приспособления для установки стоматологических имплантов, в наборах и отдельных упаковках. Набор Prosthetic. Корея. 29.01.2019</t>
  </si>
  <si>
    <t>Мембрана коллагеновая рассасывающаяся (перикард) Jason (Джейсон) 15х20 mm 23.03.2020</t>
  </si>
  <si>
    <t>Церабон (Cerabone) натуральный костный материал 0,5-1,0 mm 0,5 ml 23.03.2020</t>
  </si>
  <si>
    <t>Мембрана коллагеновая OssGuide, в исполнениях TG-1 TG-2 TG-3 TG-4 TG-5  Корея08.07.2020</t>
  </si>
  <si>
    <t>Церабон (Cerabone) натуральный костный материал 1,0-2,0 mm /1,0 ml Германия08.07..2020</t>
  </si>
  <si>
    <t>bio-oss костный заменитель (биоосс)  0,25-1,0 mm /уп. 0,5 *1    Швейцария 20.10.2021</t>
  </si>
  <si>
    <t>bio-oss костный заменитель (биоосс)  0,25-1,0 mm /уп. 0,5*2    Швейцария 20.10.2021</t>
  </si>
  <si>
    <t>bio-oss костный заменитель (биоосс)  0,25-1,0 mm /уп. 0,5*3    Швейцария 20.10.2021</t>
  </si>
  <si>
    <t>материал шовный хирургический Гликолон (glycolon) 1шт 70см Германия 18.10.2021</t>
  </si>
  <si>
    <t>Alveogyl 10г-гемостатическая хирургическая повязка в виде пасты, материал для обработки десны, альвеол, десневых каналов и лунки 10гр- паста Франция 18.10.2021</t>
  </si>
  <si>
    <t>ИМПЛАНТ  08.07.2020 (система стом имплантов</t>
  </si>
  <si>
    <t>Детартрин (паста чистящая ) 09.02.2021</t>
  </si>
  <si>
    <t>Saforide – на основе фтористого серебра   1 аппликация  - на 1 зуб - 0,033гр (аппликации на группу зубов не менее 3-х→ 5гр/0,033гр/3зуба=50 случаев по 0,1гр.</t>
  </si>
  <si>
    <t>Гутасиллер цинк(15гр порошок+8мл) 10.05.2007г</t>
  </si>
  <si>
    <t xml:space="preserve">АШ ПЛЮС (США 2тубы *4мл) 1                            </t>
  </si>
  <si>
    <t xml:space="preserve">Цитрикс (пломба) 5гр основа+5гр катализатор </t>
  </si>
  <si>
    <t>Витремер  (светополимер  прокладочный) от 30.01.2015</t>
  </si>
  <si>
    <t>3М  ESP Vitremer (стеклоиномерный гибридный светоотверждаемый) от18.12.09 на прокладки</t>
  </si>
  <si>
    <t xml:space="preserve">3М  ESP Vitremer (стеклоиномерный гибридный светоотверждаемый) </t>
  </si>
  <si>
    <t>ПРО РУТ материал для закрытия перфораций зубов 17.06.2009  3 порашка + 2 капсулы</t>
  </si>
  <si>
    <t xml:space="preserve">Эстелайт Сигма Кит светополимер (9шпр*3,8гр) </t>
  </si>
  <si>
    <t>Эстелайт Сигма Кит Прома светополимер (6шпр*3,8гр) 09.02.2021</t>
  </si>
  <si>
    <t>Эстелайт Сигма Кит светополимер (9шпр*3,8гр) 03.03.2016</t>
  </si>
  <si>
    <t>SDR материал  стом.жидкотекущий коипозитный светополимер (3шпр*1гр) 09.02.2021</t>
  </si>
  <si>
    <t>Метапекс (каналы) 11.03.2015</t>
  </si>
  <si>
    <t>Эстелайт Палфик светополимер (6шпр*3,8гр)  06.10.2015</t>
  </si>
  <si>
    <t>Номер зуба</t>
  </si>
  <si>
    <t>2 зуб</t>
  </si>
  <si>
    <t>1; 3  зуб</t>
  </si>
  <si>
    <t>4; 5 зуб</t>
  </si>
  <si>
    <t>6; 7 зуб</t>
  </si>
  <si>
    <t>8 зуб</t>
  </si>
  <si>
    <t>Объем пломбы до 1/3 зуба  -     Цена:</t>
  </si>
  <si>
    <t>Объем пломбы до 2/3 зуба  -     Цена:</t>
  </si>
  <si>
    <t>Объем пломбы более 2/3 зуба –Цена:</t>
  </si>
  <si>
    <r>
      <t xml:space="preserve">Объем пломбы до 1/3 зуба  -     </t>
    </r>
    <r>
      <rPr>
        <b/>
        <sz val="10"/>
        <rFont val="Arial Cyr"/>
        <charset val="204"/>
      </rPr>
      <t>Цена:</t>
    </r>
  </si>
  <si>
    <r>
      <t xml:space="preserve">Объем пломбы до 2/3 зуба  -     </t>
    </r>
    <r>
      <rPr>
        <b/>
        <sz val="10"/>
        <rFont val="Arial Cyr"/>
        <charset val="204"/>
      </rPr>
      <t>Цена:</t>
    </r>
  </si>
  <si>
    <r>
      <t>Объем пломбы более 2/3 зуба –</t>
    </r>
    <r>
      <rPr>
        <b/>
        <sz val="10"/>
        <rFont val="Arial Cyr"/>
        <charset val="204"/>
      </rPr>
      <t>Цена:</t>
    </r>
  </si>
  <si>
    <t>Harmonize (Гармонайз) - универсальный наногибридный композит нового поколения, внедренный с помощью технологии адаптивного реагирования ART. Производитель: KERR, США. от 05.03.2020</t>
  </si>
  <si>
    <t>Оптра гейт 09.02.2021</t>
  </si>
  <si>
    <t>Таблетки для полоскания полости рта антисептические 09.02.2021</t>
  </si>
  <si>
    <t>Убистезин (50 карпул ) 02.11.2020</t>
  </si>
  <si>
    <t>Флюокаль Солюшен 13 мл для лечения гиперстезии 19.04.2021</t>
  </si>
  <si>
    <t>Материал стоматологический для гермитизации зубов :эмаль гермитизирующий ликвид 5 мл+5 мл  19.04.2021</t>
  </si>
  <si>
    <t>Филтек Ультимейт- пломба из светополимера 02.11.2020(3шпр*1гр) 09.02.2021</t>
  </si>
  <si>
    <t>Гуттакор №25 15.11.2016</t>
  </si>
  <si>
    <t>Гуттакор №30 15.11.2016</t>
  </si>
  <si>
    <t xml:space="preserve">Применение Скандонест + игла (карпульный  анестетик)                                               </t>
  </si>
  <si>
    <t>Формирование пломбы из «Эстелайт Астериа», зуб 2, объем пломбы 1/2 зуба</t>
  </si>
  <si>
    <t>Формирование пломбы из  «Эстелайт Астериа», зуб 1, 3, объем пломбы 1/2 зуба</t>
  </si>
  <si>
    <t>Формирование пломбы из  «Эстелайт Астериа», зуб 6, 7, объем пломбы 1/2 зуба</t>
  </si>
  <si>
    <t>Формирование пломбы из  «Эстелайт Астериа», зуб 4, 5, объем пломбы 1/2 зуба</t>
  </si>
  <si>
    <t>Формирование пломбы из «Эстелайт Астериа», зуб 8, объем пломбы 1/2 зуба</t>
  </si>
  <si>
    <t>Формирование пломбы из  «Эстелайт Астериа», зуб 2, объем пломбы более 1/2 зуба</t>
  </si>
  <si>
    <t>Формирование пломбы из  «Эстелайт Астериа», зуб 1, 3, объем пломбы более 1/2 зуба</t>
  </si>
  <si>
    <t>Формирование пломбы из  «Эстелайт Астериа»,зуб 4, 5, объем пломбы более 1/2 зуба</t>
  </si>
  <si>
    <t>Формирование пломбы из  «Эстелайт Астериа», зуб 6, 7, объем пломбы более 1/2 зуба</t>
  </si>
  <si>
    <t>Использование при пломбировании каналов штифтов гуттаперчевых                        по дмс</t>
  </si>
  <si>
    <t>Применение при лечении зубов Коллапан</t>
  </si>
  <si>
    <t>Формирование пломбы из "Эстелайт Сигма", зуб 2, объем пломбы 1/2 зуба</t>
  </si>
  <si>
    <t>Формирование пломбы из  «Эстелайт Астериа», зуб 8, объем пломбы более 1/2 зуба</t>
  </si>
  <si>
    <t>Формирование пломбы из  "Эстелайт Сигма", зуб 1, 3, объем пломбы 1/2 зуба</t>
  </si>
  <si>
    <t>Формирование пломбы из  "Эстелайт Сигма", зуб 4, 5, объем пломбы 1/2 зуба</t>
  </si>
  <si>
    <t>Формирование пломбы из  "Эстелайт Сигма", зуб 6, 7, объем пломбы 1/2 зуба</t>
  </si>
  <si>
    <t>Формирование пломбы из  "Эстелайт Сигма", зуб 8, объем пломбы 1/2 зуба</t>
  </si>
  <si>
    <t>Формирование пломбы из  "Эстелайт Сигма", зуб 2, объем пломбы более 1/2 зуба</t>
  </si>
  <si>
    <t>Формирование пломбы из  "Эстелайт Сигма", зуб 1, 3, объем пломбы более 1/2 зуба</t>
  </si>
  <si>
    <t>Формирование пломбы из  "Эстелайт Сигма", зуб 4, 5, объем пломбы более 1/2 зуба</t>
  </si>
  <si>
    <t>Формирование пломбы из  "Эстелайт Сигма", зуб 6, 7, объем пломбы более 1/2 зуба</t>
  </si>
  <si>
    <t>Формирование пломбы из  "Эстелайт Сигма", зуб 8, объем пломбы более 1/2 зуба</t>
  </si>
  <si>
    <t>Формирование пломбы из "Эстелайт Сигма Кит Прома" ,  зуб 2, объем пломбы 1/2 зуба</t>
  </si>
  <si>
    <t>Формирование пломбы из "Эстелайт Сигма Кит Прома" , зуб 1, 3, объем пломбы 1/2 зуба</t>
  </si>
  <si>
    <t>Формирование пломбы из "Эстелайт Сигма Кит Прома", з уб 4, 5, объем пломбы 1/2 зуба</t>
  </si>
  <si>
    <t>Формирование пломбы из "Эстелайт Сигма Кит Прома", зуб 6, 7, объем пломбы 1/2 зуба</t>
  </si>
  <si>
    <t>Формирование пломбы из "Эстелайт Сигма Кит Прома", зуб 8, объем пломбы 1/2 зуба</t>
  </si>
  <si>
    <t>Формирование пломбы из "Эстелайт Сигма Кит Прома",зуб 2, объем пломбы более 1/2 зуба</t>
  </si>
  <si>
    <t>Формирование пломбы из "Эстелайт Сигма Кит Прома", зуб 1, 3, объем пломбы более 1/2 зуба</t>
  </si>
  <si>
    <t>Формирование пломбы из "Эстелайт Сигма Кит Прома", зуб 4, 5, объем пломбы более 1/2 зуба</t>
  </si>
  <si>
    <t>Формирование пломбы из "Эстелайт Сигма Кит Прома", зуб 6, 7, объем пломбы более 1/2 зуба</t>
  </si>
  <si>
    <t>Формирование пломбы из "Эстелайт Сигма Кит Прома" , зуб 8, объем пломбы более 1/2 зуба</t>
  </si>
  <si>
    <t>Формирование пломбы из SDR, зуб 2, объем пломбы более 1/2 зуба</t>
  </si>
  <si>
    <t xml:space="preserve">Применение "Артикаин" с адренолином форте + игла (картридж 1,8 мл.-анестетик)                                               </t>
  </si>
  <si>
    <t xml:space="preserve">Процедура  ап-том «ВЕКТОР» с использованием «Флюид полиш» (1 з.) </t>
  </si>
  <si>
    <t>ЦЕНА              (с округл.до 10 руб )               в руб.</t>
  </si>
  <si>
    <t>9+8</t>
  </si>
  <si>
    <t>Артикаин (100карпул ) 2019</t>
  </si>
  <si>
    <t>Артикаин с адренолином форте + игла (картридж 1,8 мл  анестетик)     04.03.2022 КК-11880</t>
  </si>
  <si>
    <t>Вектор полиш 2014</t>
  </si>
  <si>
    <t>Вектор полиш полир жидкость 30.01.2015</t>
  </si>
  <si>
    <t>Вектор полиш полир жидкость 7.04.2017</t>
  </si>
  <si>
    <t>Вектор флуид полиш 200мл суспензия 04.03.2022 №КК-11880</t>
  </si>
  <si>
    <t>Вектор флуид полиш полировки 25.02.2020</t>
  </si>
  <si>
    <t>3.5 см</t>
  </si>
  <si>
    <t>5 см</t>
  </si>
  <si>
    <t xml:space="preserve">Детартрин 3ет с цирконием для удаления з/камня(паста чистящая 45гр) </t>
  </si>
  <si>
    <t xml:space="preserve">ретракционная нить </t>
  </si>
  <si>
    <t>2 см</t>
  </si>
  <si>
    <t>ретракционная нить  03.03.2016</t>
  </si>
  <si>
    <t>ретракционная нить  18.12.2017</t>
  </si>
  <si>
    <t>Скандонест (раствор,50 картриджей по 1,8мл=30мг) Франция 05.03.2022 №578</t>
  </si>
  <si>
    <t>Убистезин (50 карпул) 02.11.2020</t>
  </si>
  <si>
    <t xml:space="preserve">Убистезин форте (50 карпул 4%) Германия 11.03.2022 № кк-13087 </t>
  </si>
  <si>
    <t>Ультракаин Д-С Форте + игла (картридж 1,7мл  анестетик) Германия 05.03.2022 №578</t>
  </si>
  <si>
    <t>Фуджи -9  (прокладка) 03.03.2016 15*3+2*8</t>
  </si>
  <si>
    <t>Фуджи -9  (прокладка) 024.03.2022 №</t>
  </si>
  <si>
    <t>Харизма Опал Мастер Кит (10 шпр*4гр.) 04.03.2022</t>
  </si>
  <si>
    <t>Эндометазон (14 гр. каналы)11.03.2022 накладная КК-13087</t>
  </si>
  <si>
    <t>Эстелайт Астериа светополимер (7шпр*4гр)  Япония 11.03.2022 КК-13087</t>
  </si>
  <si>
    <t>Эстелайт Палфик светополимер (разные цвета 1шпр*3,8гр) Япония 04.03.2022 № КК-12057</t>
  </si>
  <si>
    <t>Эстелайт Сигма  светополимер (1шпр*3,8гр) Япония 04.03.2022 № КК-1257</t>
  </si>
  <si>
    <t>Эстелайт Астериа светополимер (7шпр*4гр) 11.03.2022 № КК-13087</t>
  </si>
  <si>
    <t xml:space="preserve"> «Харизма Опал Мастер Кит» -  пломба из светополимера 04.03.2022 №КК-12057</t>
  </si>
  <si>
    <t>Эстелайт Палфик светополимер (1шпр*3,8гр)  04.03.2022 № КК-1257</t>
  </si>
  <si>
    <t>Закрытый кюретаж при заболеваниях пародонта в области зуба (полный комплекс манипуляций лечения)</t>
  </si>
  <si>
    <t xml:space="preserve">Абатмент прямой, Osstem Корея  </t>
  </si>
  <si>
    <t xml:space="preserve">Абатмент угловой, Osstem Корея  </t>
  </si>
  <si>
    <t>Аналог имплантат, Osstem Корея</t>
  </si>
  <si>
    <t>Трансфер о.л. mini/norm, Osstem Корея</t>
  </si>
  <si>
    <t>Аттачмент для бюгеля, бобина 4 шт, Италия</t>
  </si>
  <si>
    <t>Применение трансфера о.л. mini/norm, Osstem Корея</t>
  </si>
  <si>
    <t>Применение абатмента прямого, Osstem Корея</t>
  </si>
  <si>
    <t>Применение абатмента углового, Osstem Корея</t>
  </si>
  <si>
    <t>Применение аналог имплантат, Osstem Корея</t>
  </si>
  <si>
    <t xml:space="preserve">ПЛАТА
за медицинские услуги (работы), предоставляемые гражданам    
   и юридическим лицам краевым государственным 
автономным учреждением здравоохранения                                                                                                                                                                                                                                                                                                        «Красноярская городская стоматологическая поликлиника № 8» </t>
  </si>
  <si>
    <t>Применение аттачмента бокового, для бюгеля, 1 шт, Италия</t>
  </si>
  <si>
    <t>Применение био-активного материала "коллапан" при лечении заболеваний тканей парадонта</t>
  </si>
  <si>
    <t>Коллапан 23.03.2022</t>
  </si>
  <si>
    <t>потери</t>
  </si>
  <si>
    <t>Упиен, ортоприн 07.04.2022</t>
  </si>
  <si>
    <t>Комплексная профессиональная чистка всех зубов с применением ультразвука  и  аппарата «Air Flow» с применением лечебного порошка</t>
  </si>
  <si>
    <t xml:space="preserve">Профессиональная чистка 1-го зуба аппаратом «Air Flow» с применением лечебного порошка </t>
  </si>
  <si>
    <t xml:space="preserve">Наконечник пескоструйный "Air Flow",  1 шт 20.04.2022 </t>
  </si>
  <si>
    <t>Эстелайт юниверсал флоу медиум  светополимер (1шпр*3,0гр) Япония 20.04.2022</t>
  </si>
  <si>
    <t>Формирование пломбы из «Эстелайт  юниверсал супер флоу жидкотекучий», зуб 1, 3, объем пломбы более 1/2 зуба</t>
  </si>
  <si>
    <t>Формирование пломбы из «Эстелайт  юниверсал супер флоу жидкотекучий», зуб 4, 5, объем пломбы более 1/2 зуба</t>
  </si>
  <si>
    <t>Формирование пломбы из «Эстелайт  юниверсал супер флоу жидкотекучий», зуб 6, 7, объем пломбы более 1/2 зуба</t>
  </si>
  <si>
    <t>Формирование пломбы из «Эстелайт юниверсал супер флоу жидкотекучий», зуб 2, объем пломбы 1/2 зуба</t>
  </si>
  <si>
    <t>Формирование пломбы из «Эстелайт  юниверсал супер флоу жидкотекучий», зуб 4, 5, объем пломбы 1/2 зуба</t>
  </si>
  <si>
    <t>Формирование пломбы из «Эстелайт  юниверсал супер флоу жидкотекучий», зуб 1, 3, объем пломбы 1/2 зуба</t>
  </si>
  <si>
    <t>Формирование пломбы из «Эстелайт  юниверсал супер флоу жидкотекучий», зуб 6, 7, объем пломбы 1/2 зуба</t>
  </si>
  <si>
    <t>Формирование пломбы из «Эстелайт юниверсал супер флоу жидкотекучий», зуб 8, объем пломбы 1/2 зуба</t>
  </si>
  <si>
    <t>Формирование пломбы из «Эстелайт юниверсал супер флоу жидкотекучий», зуб 2, объем пломбы более 1/2 зуба</t>
  </si>
  <si>
    <t>Формирование пломбы из «Эстелайт юниверсал супер флоу жидкотекучий», зуб 8, объем пломбы более 1/2 зуба</t>
  </si>
  <si>
    <t>Формирование пломбы из «Эстелайт флоумедиум светополимер», зуб 6, 7, объем пломбы 1/2 зуба</t>
  </si>
  <si>
    <t>Формирование пломбы из «Эстелайт флоу медиум светополимер», зуб 8, объем пломбы 1/2 зуба</t>
  </si>
  <si>
    <t>Формирование пломбы из «Эстелайт флоу медиум светополимер», зуб 4, 5, объем пломбы 1/2 зуба</t>
  </si>
  <si>
    <t>Формирование пломбы из «Эстелайт флоу медиум светополимер», зуб 1, 3, объем пломбы 1/2 зуба</t>
  </si>
  <si>
    <t>Формирование пломбы из «Эстелайт флоу медиум светополимер», зуб 2, объем пломбы 1/2 зуба</t>
  </si>
  <si>
    <t>Формирование пломбы из «Эстелайт флоумедиум светополимер», зуб 2, объем пломбы более 1/2 зуба</t>
  </si>
  <si>
    <t>Формирование пломбы из «Эстелайт флоумедиум светополимер», зуб 1, 3, объем пломбы более 1/2 зуба</t>
  </si>
  <si>
    <t>в редакции от 20.04.2022</t>
  </si>
  <si>
    <t xml:space="preserve">Профессиональная чистка всех зубов  аппаратом «Air Flow»с применением лечебного порошка </t>
  </si>
  <si>
    <t>Формирование пломбы из «Эстелайт флоу медиум светополимер», зуб 4, 5, объем пломбы более 1/2 зуба</t>
  </si>
  <si>
    <t>Формирование пломбы из «Эстелайт флоу медиум светополимер», зуб 6, 7, объем пломбы более 1/2 зуба</t>
  </si>
  <si>
    <t>Формирование пломбы из «Эстелайт флоу медиум светополимер», зуб 8, объем пломбы более 1/2 зуба</t>
  </si>
  <si>
    <t>БИОМАТРИККС, мембрана 20*20 на основе костной ткани 20.04.2022</t>
  </si>
  <si>
    <t>ОСТЕОМАТРИКС на основе костной ткани  , крошка 2 куб.см. 20.04.2022</t>
  </si>
  <si>
    <t>Применение мембран 20*20 на основе костной ткани БИОМАТРИККС,  при восстановлении костных дефектов для ускорения тканевой регенерации</t>
  </si>
  <si>
    <t xml:space="preserve">Применение крошки на основе костной ткани ОСТЕОМАТРИКС, для заполнения объема костного дефекта или полостей </t>
  </si>
  <si>
    <t>Эстелайт Синма Кит Промо светополимер (6шпр*3,8гр) 06.07.2022</t>
  </si>
  <si>
    <t xml:space="preserve"> «Каризма Опал Мастер Кит» -  пломба из светополимера 06.07.2022</t>
  </si>
  <si>
    <t xml:space="preserve"> Hybrid Composite Visible Light Cure (7 шпр*4,5гр.) 06.07.2022</t>
  </si>
  <si>
    <t>Каризма Опал Мастер Кит (10 шпр*4гр.) 06.07.2022</t>
  </si>
  <si>
    <t>Hybrid Composite Visible Light Cure (7 шпр*4,5гр.) 06.07.2022</t>
  </si>
  <si>
    <t>Эстелайт Сигма Кит Промо светополимер (6шпр*3,8гр) 09.02.2021</t>
  </si>
  <si>
    <t>AHfil+ (15гр+7мл)  (прокладка) 06.07.2022</t>
  </si>
  <si>
    <t>Формирование пломбы из «Hybrid Composite Visible Light Cure», зуб 6, 7, объем пломбы 1/2 зуба</t>
  </si>
  <si>
    <t>Формирование пломбы из «Hybrid Composite Visible Light Cure», зуб 8, объем пломбы 1/2 зуба</t>
  </si>
  <si>
    <t>Формирование пломбы из «Hybrid Composite Visible Light Cure», зуб 2, объем пломбы более 1/2 зуба</t>
  </si>
  <si>
    <t>Формирование пломбы из «Hybrid Composite Visible Light Cure», зуб 1, 3, объем пломбы более 1/2 зуба</t>
  </si>
  <si>
    <t>Формирование пломбы из «Hybrid Composite Visible Light Cure», зуб 4, 5, объем пломбы более 1/2 зуба</t>
  </si>
  <si>
    <t>Формирование пломбы из «Hybrid Composite Visible Light Cure», зуб 6, 7, объем пломбы более 1/2 зуба</t>
  </si>
  <si>
    <t>Формирование пломбы из «Hybrid Composite Visible Light Cure», зуб 8, объем пломбы более 1/2 зуба</t>
  </si>
  <si>
    <t xml:space="preserve">Формирование прокладки из AHfil+ </t>
  </si>
  <si>
    <t>Формирование пломбы из «Hybrid Composite Visible Light Cure», зуб 2, объем пломбы 1/2 зуба</t>
  </si>
  <si>
    <t>Формирование пломбы из «Hybrid Composite Visible Light Cure», зуб 1, 3, объем пломбы 1/2 зуба</t>
  </si>
  <si>
    <t>Формирование пломбы из «Hybrid Composite Visible Light Cure», зуб 4, 5, объем пломбы 1/2 зуба</t>
  </si>
  <si>
    <t>в редакции от 11.07.2022</t>
  </si>
  <si>
    <r>
      <t xml:space="preserve">Приложение № 1 к приказу КГАУЗ «КГСП № 8»
от "15"03_2022 № 181   
</t>
    </r>
    <r>
      <rPr>
        <sz val="8"/>
        <rFont val="Times New Roman"/>
        <family val="1"/>
        <charset val="204"/>
      </rPr>
      <t>в редакции от 07.04.2022</t>
    </r>
  </si>
  <si>
    <t>Формирование пломбы из «Каризма Опал Мастер Кит», зуб 2, объем пломбы 1/2 зуба</t>
  </si>
  <si>
    <t>Формирование пломбы из «Каризма Опал Мастер Кит», зуб 1, 3, объем пломбы 1/2 зуба</t>
  </si>
  <si>
    <t>Формирование пломбы из «Каризма Опал Мастер Кит», зуб 4, 5, объем пломбы 1/2 зуба</t>
  </si>
  <si>
    <t>Формирование пломбы из «Каризма Опал Мастер Кит», зуб 6, 7, объем пломбы 1/2 зуба</t>
  </si>
  <si>
    <t>Формирование пломбы из «Каризма Опал Мастер Кит», зуб 8, объем пломбы 1/2 зуба</t>
  </si>
  <si>
    <t>Формирование пломбы из «Каризма Опал Мастер Кит», зуб 2, объем пломбы более 1/2 зуба</t>
  </si>
  <si>
    <t>Формирование пломбы из «Каризма Опал Мастер Кит», зуб 1, 3, объем пломбы более 1/2 зуба</t>
  </si>
  <si>
    <t>Формирование пломбы из «Каризма Опал Мастер Кит», зуб 4, 5, объем пломбы более 1/2 зуба</t>
  </si>
  <si>
    <t>Формирование пломбы из «Каризма Опал Мастер Кит», зуб 6, 7, объем пломбы более 1/2 зуба</t>
  </si>
  <si>
    <t>Формирование пломбы из «Каризма Опал Мастер Кит», зуб 8, объем пломбы более 1/2 зуба</t>
  </si>
  <si>
    <t>Формирование пломбы из «Эстелайт Сигма Кит Промо», зуб 2, объем пломбы 1/2 зуба</t>
  </si>
  <si>
    <t>Формирование пломбы из «Эстелайт Сигма Кит Промо», зуб 1, 3, объем пломбы 1/2 зуба</t>
  </si>
  <si>
    <t>Формирование пломбы из «Эстелайт Сигма Кит Промо», зуб 4, 5, объем пломбы 1/2 зуба</t>
  </si>
  <si>
    <t>Формирование пломбы из «Эстелайт Сигма Кит Промо», зуб 6, 7, объем пломбы 1/2 зуба</t>
  </si>
  <si>
    <t>Формирование пломбы из «Эстелайт Сигма Кит Промо», зуб 8, объем пломбы 1/2 зуба</t>
  </si>
  <si>
    <t>Формирование пломбы из «Эстелайт Сигма Кит Промо», зуб 2, объем пломбы более 1/2 зуба</t>
  </si>
  <si>
    <t>Формирование пломбы из «Эстелайт Сигма Кит Промо», зуб 1, 3, объем пломбы более 1/2 зуба</t>
  </si>
  <si>
    <t>Формирование пломбы из «Эстелайт Сигма Кит Промо», зуб 4, 5, объем пломбы более 1/2 зуба</t>
  </si>
  <si>
    <t>Формирование пломбы из «Эстелайт Сигма Кит Промо», зуб 6, 7, объем пломбы более 1/2 зуба</t>
  </si>
  <si>
    <t>Формирование пломбы из «Эстелайт Сигма Кит Промо», зуб 8, объем пломбы более 1/2 зуба</t>
  </si>
  <si>
    <t>Формирование прокладки из «Es Flow жидкотекучий», зуб 2, объем пломбы 1/2 зуба</t>
  </si>
  <si>
    <t>Es Flow (2шпр*2гр)жидкотекучий для прокладок 06.07.2022</t>
  </si>
  <si>
    <t>AHfil+ (15гр+7мл)  (пломба) 01.08.2022</t>
  </si>
  <si>
    <t>Формирование пломбы из "AHfil+"</t>
  </si>
  <si>
    <t>ВИТРО ФИЛ ЛС(Vitro FilLC)А32  (пакуемый стеклоиномерный цемент светового отверждения, DFL,  ПРОКЛАДКА) от 15.08.2022; порошок 5гр+жидкость2,5+2,5+5мл 15/08/2022</t>
  </si>
  <si>
    <t>ВИТРО ФИЛ ЛС(Vitro FilLC)А32  (пакуемый стеклоиномерный цемент светового отверждения, DFL,  ПЛОМБА min) от 15.08.2022; порошок 5гр+жидкость2,5+2,5+5мл 15/08/2022</t>
  </si>
  <si>
    <t>ВИТРО ФИЛ ЛС(Vitro FilLC)А32  (cтеклоиномерный цемент светового отверждения, DFL) от 15.08.2022 (договор CRG 08/22-659/P jn 08.08ю2022)</t>
  </si>
  <si>
    <t>Формирование прокладки из ВИТРО ФИЛ ЛС (Vitro FilLC)А32  (cтеклоиномерный цемент светового отверждения, DFL)</t>
  </si>
  <si>
    <t>Формирование пломбы из «ВИТРО ФИЛ ЛС (Vitro FilLC)А32», зуб 2, объем пломбы 1/2 зуба</t>
  </si>
  <si>
    <t>Формирование пломбы из «ВИТРО ФИЛ ЛС (Vitro FilLC)А32», зуб 1, 3, объем пломбы 1/2 зуба</t>
  </si>
  <si>
    <t>Формирование пломбы из «ВИТРО ФИЛ ЛС (Vitro FilLC)А32»,  зуб 4, 5, объем пломбы 1/2 зуба</t>
  </si>
  <si>
    <t>Формирование пломбы из «ВИТРО ФИЛ ЛС (Vitro FilLC)А32»,  зуб 6, 7, объем пломбы 1/2 зуба</t>
  </si>
  <si>
    <t>Формирование пломбы из «ВИТРО ФИЛ ЛС (Vitro FilLC)А32»,  зуб 8, объем пломбы 1/2 зуба</t>
  </si>
  <si>
    <t>Формирование пломбы из «ВИТРО ФИЛ ЛС (Vitro FilLC)А32»,  зуб 2, объем пломбы более 1/2 зуба</t>
  </si>
  <si>
    <t>Формирование пломбы из «ВИТРО ФИЛ ЛС (Vitro FilLC)А32»,  зуб 1, 3, объем пломбы более 1/2 зуба</t>
  </si>
  <si>
    <t>Формирование пломбы из «ВИТРО ФИЛ ЛС (Vitro FilLC)А32»,  зуб 8, объем пломбы более 1/2 зуба</t>
  </si>
  <si>
    <t>Формирование пломбы из «ВИТРО ФИЛ ЛС (Vitro FilLC)А32»,  зуб 6, 7, объем пломбы более 1/2 зуба</t>
  </si>
  <si>
    <t>Формирование пломбы из «ВИТРО ФИЛ ЛС (Vitro FilLC)А32»,  зуб 4, 5, объем пломбы более 1/2 зуба</t>
  </si>
  <si>
    <t>А-oss костный заменитель (А-оосс)  0,25-1,0 mm /уп. 0,5 *1    КОРЕЯ 10.06.2022</t>
  </si>
  <si>
    <t>и.о.главного врача КГАУЗ "КГСП № 8"</t>
  </si>
  <si>
    <t>Использование костно-замещающих материалов  при оперативных вмешательствах в ЧЛО А-oss (А-осс)  0,25-1,0 mm /уп. 0,5 *1    КОРЕЯ 10.06.2022</t>
  </si>
  <si>
    <t>Артикаин Инибса раствор для инъекций (40мг+0,010 мг/мл) (упак-1,8 мл №100 картридж)     Laborotorios Inibsa (№2427/Т05, 01.04.2024, 10013160/210622/3311242, ИСПАНИЯ) накладная КК-32446 12.09.2022</t>
  </si>
  <si>
    <t xml:space="preserve">Артикаин  Инибса, раствор для инъекций (40мг+0,010 мг/мл) (упак-1,8 мл №100 картридж),    Laborotorios Inibsa  (ИСПАНИЯ) </t>
  </si>
  <si>
    <t>действует с 15.09.2022</t>
  </si>
  <si>
    <t>в редакции от 07.07.2022</t>
  </si>
  <si>
    <t>в редакции от 29.07.2022</t>
  </si>
  <si>
    <t>Приложение № 2 к приказу КГАУЗ «КГСП № 8»
от "15"03_2022 № 181   
в редакции от 07.04.2022</t>
  </si>
  <si>
    <t>в редакции от 15.08.2022</t>
  </si>
  <si>
    <t>в редакции от 06.09.2022</t>
  </si>
  <si>
    <t>в редакции от 14.09.2022</t>
  </si>
  <si>
    <t>Омнихрома (Omnichroma)  светополимер (1шпр*4гр) Япония 18/11/2022  дог 958/22</t>
  </si>
  <si>
    <r>
      <t xml:space="preserve">Эстелайт Палфик (Estelite в наборе Palfique Estelit Paste Syringe Intro Kit </t>
    </r>
    <r>
      <rPr>
        <b/>
        <sz val="10"/>
        <rFont val="Symbol"/>
        <family val="1"/>
        <charset val="2"/>
      </rPr>
      <t>II</t>
    </r>
    <r>
      <rPr>
        <b/>
        <sz val="10"/>
        <rFont val="Times New Roman"/>
        <family val="1"/>
        <charset val="204"/>
      </rPr>
      <t>) светополимер (разные цвета 6шпр*3,8гр) Япония 18.11.2022 дог.№958/22 строка 5</t>
    </r>
  </si>
  <si>
    <t>плюс работа строка 109</t>
  </si>
  <si>
    <t>всего</t>
  </si>
  <si>
    <t>Десентитайзер Шилд Форс Плюс (Tokuyama Shield Force Plus) для лечение гиперчувствительности дентина, 
снижения абразии и эрозирования обнаженного дентина) фл=3мл и 25 микроапликаторов, 18/11/2022  дог 958/22 строка 6</t>
  </si>
  <si>
    <t>Детартрин 3ет с цирконием для удаления з/камня (паста чистящая 45гр) 18.11.2022 дог 958/22 строка 22</t>
  </si>
  <si>
    <t>в редакции от 25.11.2023</t>
  </si>
  <si>
    <t>Формирование пломбы из «Омнихром» (Omnichrom), зуб 2, объем пломбы 1/2 зуба</t>
  </si>
  <si>
    <t>Формирование пломбы из «Омнихром» (Omnichrom), зуб 1, 3, объем пломбы 1/2 зуба</t>
  </si>
  <si>
    <t>Формирование пломбы из «Омнихром» (Omnichrom), зуб 4, 5, объем пломбы 1/2 зуба</t>
  </si>
  <si>
    <t>Формирование пломбы из «Омнихром» (Omnichrom), зуб 6, 7, объем пломбы 1/2 зуба</t>
  </si>
  <si>
    <t>Формирование пломбы из «Омнихром» (Omnichrom), зуб 8, объем пломбы 1/2 зуба</t>
  </si>
  <si>
    <t>Формирование пломбы из «Омнихром» (Omnichrom), зуб 2, объем пломбы более 1/2 зуба</t>
  </si>
  <si>
    <t>Формирование пломбы из «Омнихром» (Omnichrom), зуб 1, 3, объем пломбы более 1/2 зуба</t>
  </si>
  <si>
    <t>Формирование пломбы из «Омнихром» (Omnichrom), зуб 4, 5, объем пломбы более 1/2 зуба</t>
  </si>
  <si>
    <t>Формирование пломбы из «Омнихром» (Omnichrom), зуб 6, 7, объем пломбы более 1/2 зуба</t>
  </si>
  <si>
    <t>Формирование пломбы из «Омнихром» (Omnichrom), зуб 8, объем пломбы более 1/2 зуба</t>
  </si>
  <si>
    <t>Ес -Флоу (EsFlow A2 -  применение жидкотекучего светотверждаемого материала при шинирование зубов для крепления к коронке одного зуба при заболеваниях пародонта)  - 2шпр*2гр, Республика Корея, 18/11/2022  дог 958/22 строка 6</t>
  </si>
  <si>
    <t>Формирование прокладки из  жидкотекучего светотверждаемого материала Ес -Флоу (EsFlow A2)</t>
  </si>
  <si>
    <t>Применение жидкотекучего светоотверждаемого материала Ес -Флоу (EsFlow A2) при шинировании зубов, крепление к коронке одного зуба (+ к позиции 109)</t>
  </si>
  <si>
    <t xml:space="preserve">Лечение гиперчувствительности дентина, снижение абразии и эрозирования обнаженного дентина с применением десентитайзера Шилд Форс Плюс (Tokuyama Shield Force Plus) </t>
  </si>
  <si>
    <t xml:space="preserve">ВЫПИСКА  из  "ПРЕЙСКУРАНТА    ЦЕН </t>
  </si>
  <si>
    <t>на платные услуги, предоставляемые</t>
  </si>
  <si>
    <t>краевым государственным автономным учреждением здравоохранения</t>
  </si>
  <si>
    <t>"Красноярская городская  стоматологическая поликлиника №8"</t>
  </si>
  <si>
    <t>лицам, не имеющим российского гражданства, страховых полисов,</t>
  </si>
  <si>
    <t>(не прикрепленных к поликлинике), по желанию (с согласия) пациента</t>
  </si>
  <si>
    <t>стоимость</t>
  </si>
  <si>
    <t xml:space="preserve">или его законного представителя". </t>
  </si>
  <si>
    <t>№п/п</t>
  </si>
  <si>
    <t>наименование работ</t>
  </si>
  <si>
    <t>код манипуляции</t>
  </si>
  <si>
    <t>составляющие манипуляции</t>
  </si>
  <si>
    <t>кол-во работ</t>
  </si>
  <si>
    <t xml:space="preserve">врачебная </t>
  </si>
  <si>
    <t>зуботехническая</t>
  </si>
  <si>
    <t>напыление по желанию пациента (договор )</t>
  </si>
  <si>
    <t xml:space="preserve">полная стоимость </t>
  </si>
  <si>
    <t>код манипуляции по кассе</t>
  </si>
  <si>
    <t>Протезирование 1 коронкой металлокерамической на 1 импланте</t>
  </si>
  <si>
    <t>Прием врача-стоматолога (осмотр, консультация) первичный</t>
  </si>
  <si>
    <t>Протезирование зуба с использованием имплантата (коронкой мет.кер)</t>
  </si>
  <si>
    <t>цена - по накладной без учета рентабельности</t>
  </si>
  <si>
    <t xml:space="preserve"> Временный абатмен (Temporaru Abutment) № 10005030/110717/0021032 Корея</t>
  </si>
  <si>
    <t>Временный абатмен (Abutment Transfer) № 10005030/171218/0049339 Корея</t>
  </si>
  <si>
    <t>Временный абатмен (Abutment Stud) № 10005030/210616/0022355 Корея</t>
  </si>
  <si>
    <t>Комплект ретенционного колпачка  J-ring Retainer Cap Set № 10005030/1231118/0043347 Корея</t>
  </si>
  <si>
    <t xml:space="preserve"> Лабораторный аналог Fixture Lab Analog  J-ring Retainer Cap Set № 10005030/1231118/0039291 Корея</t>
  </si>
  <si>
    <t>Абатмены GuickTemporaru TSGTA4550TH № 10005030/150817/0025018 Корея</t>
  </si>
  <si>
    <t xml:space="preserve"> Динамометрический ключ Torgue Wrench (№ 10005030/050418/0011413) Набор Prosthetic. Корея.                                                                                    ( На 10 случаев)</t>
  </si>
  <si>
    <t>Ручной ключ Hand Dtiver (№ 10005030/070918/0033592)  Набор Prosthetic. Корея.         ( На 10 случаев)</t>
  </si>
  <si>
    <t>Ключ Торка для динамометрического ключа Torgue Driver for Torgue  Wrench (№ 10005030/161018/0039291) Набор Prosthetic. Корея. 29.01.2019        ( На 10 случаев)</t>
  </si>
  <si>
    <t>итого</t>
  </si>
  <si>
    <t>Имплант                                                                                   счет-фактура №КК-14880 от 13.05.2020</t>
  </si>
  <si>
    <t>Формирователь десны                                              счет-фактура №КК-14880 от 13.05.2020</t>
  </si>
  <si>
    <t>Оперативное вмешательство на тканях парадонта с использованием средств остеоинтеграции</t>
  </si>
  <si>
    <t>ВСЕГО</t>
  </si>
  <si>
    <t>коронка металлокер.на импланте</t>
  </si>
  <si>
    <t>127или128</t>
  </si>
  <si>
    <t>основной прайс от 29.03.2021 с редакциями доп/изм</t>
  </si>
  <si>
    <t>Мембрана коллагеновая рассасывающаяся (перикард) Jason (Джейсон) 15х20 mm,  накладная от  01.04.2021</t>
  </si>
  <si>
    <t>Церабон (Cerabone) натуральный костный материал 0,5-1,0 mm 0,5 ml, накладная от  01.04.2021</t>
  </si>
  <si>
    <t>Таблица 2</t>
  </si>
  <si>
    <t>Таблица 1</t>
  </si>
  <si>
    <t>Таблица 3</t>
  </si>
  <si>
    <t xml:space="preserve">смотри все в комплексе  позиция прейскуранта 297 </t>
  </si>
  <si>
    <t>наименование комплекса  работы/услуги</t>
  </si>
  <si>
    <t>код манипуляции по классификатору</t>
  </si>
  <si>
    <t>наименование манипуляции</t>
  </si>
  <si>
    <t>кол-во работ /манипуляций</t>
  </si>
  <si>
    <t>полная стоимость по прейскуранту на 21.03.2022</t>
  </si>
  <si>
    <t>стоимость комплекса для реализации на 21.03.2022</t>
  </si>
  <si>
    <t>% снижения цены при примении комплекса</t>
  </si>
  <si>
    <t xml:space="preserve">стоимость с учетом количества манипуляций </t>
  </si>
  <si>
    <t>Закрытый кюретаж при заболеваниях пародонта в области зуба (комплекс манипуляций лечения)</t>
  </si>
  <si>
    <t>Расчет цены льготного комплекса услуги по количеству и стоимости манипуляций</t>
  </si>
  <si>
    <t>смотри все в комплексе  позиция прейскуранта 614</t>
  </si>
  <si>
    <t xml:space="preserve">смотри все в комплексе  позиция прейскуранта 546 </t>
  </si>
  <si>
    <t>врач+техник</t>
  </si>
  <si>
    <t>до 29.11.2022</t>
  </si>
  <si>
    <t>полная стоимость  до 29.11.2022</t>
  </si>
  <si>
    <t>Операция установки импланта под местным обезболиванием (врач стоматолог-хирург)</t>
  </si>
  <si>
    <t>Система стоматологических имплантов TS: имплант TS iii SA (NS III SA Fixture (Республика Корея) дог СКП 11.22-1023/Р 29.11.2022</t>
  </si>
  <si>
    <t>Мембрана коллагеновая OssGuide, в исполнениях TG-1 TG-2 TG-3 TG-4 TG-5  (Республика Корея)  дог СКП 11.22-1023/Р 29.11.2022</t>
  </si>
  <si>
    <t>Материал стоматологический для замещения дефектов кос тных тканей: рассасывающиеся костные мкмбраны Geistlich Bio-Oss ( 0,25*25мм)  Швейцария,  дог СКП 11.22-1023/Р 29.11.2022</t>
  </si>
  <si>
    <t>Материал шовный хирургический Гликолон (glycolon) 1шт 70см Германия  дог СКП 11.22-1023/Р 29.11.2022</t>
  </si>
  <si>
    <t>Нити хирургические стерильные, синтетические, рассасывающиеся, с атравматическими иглами и без: Викрил (VIKRIL) (5/0, 75см, колющая 17мм, фиол.) Мексика    дог СКП 11.22-1023/Р 29.11.2022</t>
  </si>
  <si>
    <t>Материал животного происхождения костнозамещающий A-Oss:  BAS10 (025-1,00мм (S), 1,0г (2,0сс)  Республика Корея ,дог СКП 11.22-1023/Р 29.11.2022</t>
  </si>
  <si>
    <t xml:space="preserve">Использование материала шовного хирургического Гликолон (glycolon) 1шт 70см Германия  </t>
  </si>
  <si>
    <t>Применение системы стоматологических имплантов TS: имплант TS iii SA (NS III SA Fixture (Республика Корея) 1 ед</t>
  </si>
  <si>
    <t xml:space="preserve">Использование нити хирургической стерильной, синтетической, рассасывающейся, с атравматическими иглами и без: Викрил (VIKRIL) (5/0, 75см, колющая 17мм, фиол.) Мексика    </t>
  </si>
  <si>
    <t>Материал стоматологический для замещения дефектов костных тканей: натуральный костный материал Geistlich Bio-Oss Spongiosa granulat (1гр,  0,25-1мм)  Швейцария,  дог СКП 11.22-1023/Р 29.11.2022</t>
  </si>
  <si>
    <t>Использование материала стоматологического для замещения дефектов костных тканей: рассасывающиеся костные мкмбраны Geistlich Bio-Oss ( 0,25*25мм)  Швейцария,  на 1 ед.</t>
  </si>
  <si>
    <t>Использование материала животного происхождения костнозамещающего A-Oss:  BAS10 (025-1,00мм (S), 1,0г (2,0сс)  Республика Корея, на 1 ед.</t>
  </si>
  <si>
    <t>Применение имплантата коллагенового рассасывающегося Парасорб (Parasorb Cone) Германия</t>
  </si>
  <si>
    <t>Использование мембраны коллагеновой OssGuide, в исполнениях TG-1 TG-2 TG-3 TG-4 TG-5, Республика Корея, на 1 ед.</t>
  </si>
  <si>
    <t>в редакции от 30.11.2022</t>
  </si>
  <si>
    <t>в редакции от 03.02.2023</t>
  </si>
  <si>
    <t>Лазерная диагностика скрытых кариозных полостей аппаратом Диагнокам</t>
  </si>
  <si>
    <t>Приложение № 1 к приказу КГАУЗ «КГСП № 8»
от "15"03_2022 № 181   
в редакции от 07.04.2022</t>
  </si>
  <si>
    <t>Скандинибса без адреналина  р-р д/инъекц. 30 мг/1 мл: картриджи 1.8 мл (Испания) 100 амп 03.03.2023</t>
  </si>
  <si>
    <t>Артикаин ДФ с адреналином 1,8МЛ (50 КАРПУЛ) (БРАЗИЛИЯ),03.03.2023</t>
  </si>
  <si>
    <t>Мепивакаин 30 мг/мл, №50 (картриджи 1.8 мл) Россия, 03.03.2023</t>
  </si>
  <si>
    <t>Ораблок (4% 1:100 000), 40мг/мл+10мкг/10мл 1.8 мл, №100 (раствор для инъекций 40мг/мл+10 мкг/мл (Артикаин+Эпинефрин) 100 штук,  ИТАЛИЯ, 03.03.2023</t>
  </si>
  <si>
    <t>Септанест с адреналином раствор для инъекций  40+0,01 мг/мл; картридж 1,7 мл; количество в упаковке 50 шт, ФРАНЦИЯ, 03.03.2023</t>
  </si>
  <si>
    <t xml:space="preserve">Применение Скандинибса без адреналина, анестетик   (Испания)               </t>
  </si>
  <si>
    <t xml:space="preserve">Применение Артикаин с адреналином форте, анестетик (Россия)           </t>
  </si>
  <si>
    <t xml:space="preserve">Применение Мепивакаин, анестетик (Россия)       </t>
  </si>
  <si>
    <t xml:space="preserve">Применение Ораблок, анестетик  (Италия)        </t>
  </si>
  <si>
    <t xml:space="preserve">Применение Септанест с адреналином, анестетик  (Франция)            </t>
  </si>
  <si>
    <t xml:space="preserve">Применение Артикаин ДФ с адреналином, анестетик  (Бразилия)             </t>
  </si>
  <si>
    <t>в редакции от 03.03.2023</t>
  </si>
  <si>
    <t>Формирование пломбы из Эстелайт Постериор, зуб 2, объем пломбы 1/2 зуба</t>
  </si>
  <si>
    <t>Формирование пломбы из Эстелайт Постериор, зуб 1, 3, объем пломбы 1/2 зуба</t>
  </si>
  <si>
    <t>Формирование пломбы из Эстелайт Постериор, зуб 4, 5, объем пломбы 1/2 зуба</t>
  </si>
  <si>
    <t>Формирование пломбы из Эстелайт Постериор, зуб 6, 7, объем пломбы 1/2 зуба</t>
  </si>
  <si>
    <t>Формирование пломбы из Эстелайт Постериор, зуб 8, объем пломбы 1/2 зуба</t>
  </si>
  <si>
    <t>Формирование пломбы из Эстелайт Постериор, зуб 2, объем пломбы более 1/2 зуба</t>
  </si>
  <si>
    <t>Формирование пломбы из Эстелайт Постериор, зуб 1, 3, объем пломбы более 1/2 зуба</t>
  </si>
  <si>
    <t>Формирование пломбы из Эстелайт Постериор, зуб 4, 5, объем пломбы более 1/2 зуба</t>
  </si>
  <si>
    <t>Формирование пломбы из Эстелайт Постериор, зуб 6, 7, объем пломбы более 1/2 зуба</t>
  </si>
  <si>
    <t>Формирование пломбы из Эстелайт Постериор, зуб 8, объем пломбы более 1/2 зуба</t>
  </si>
  <si>
    <t>ИМПЛАНТ с памятью формы 21.01.2008</t>
  </si>
  <si>
    <t>ИМПЛАНТт коллагеновый рассасывающийся Парасорб (parasorb cone) 1,2см*1,6см*10шт   Германия 18.10.2021</t>
  </si>
  <si>
    <t>ИМПЛАНТ коллагеновый рассасывающийся Парасорб (Parasorb Cone) 1,2см*1,6см*10шт   Германия  дог СКП 11.22-1023/Р 29.11.2022</t>
  </si>
  <si>
    <t>Динамометрический ключ Torgue Wrench (№ 10005030/050418/0011413) Инструменты и приспособления для установки стоматологических имплантов, в наборах и отдельных упаковках. Набор Prosthetic. Корея. 29.01.2019</t>
  </si>
  <si>
    <t>Эстелайт Сигма Квик ОА3  (1шпр*3,8гр) Токияма, Япония 06.04.2024</t>
  </si>
  <si>
    <t>Омнихрома (Omnichroma)  материал композитный (1шпр*4гр) Токияма, Япония 06.04.2023</t>
  </si>
  <si>
    <t>не меняем</t>
  </si>
  <si>
    <t xml:space="preserve">Эстелайт Юниверсал Флоу Хай ОРА2  (1шпр*3,0гр жидкотекучий материал -прокладка) Токияма, Япония 03.04.2023 </t>
  </si>
  <si>
    <t>Эстелайт Балк Фил А2 (1шпр*3,0гр прокладка и пломбы светоотверждаемые) Токияма, Япония 03.04.2023</t>
  </si>
  <si>
    <t>Эстелайт Юниверсал Супер Флоу светополимер (1шпр*3,0гр) Япония 20.04.2022</t>
  </si>
  <si>
    <t>Эстелайт Юниверсал Флоу (SuperLov) A4 (1шпр*3,0гр) Токияма, Япония 03.04.2023</t>
  </si>
  <si>
    <t>есть</t>
  </si>
  <si>
    <t>считам как</t>
  </si>
  <si>
    <t xml:space="preserve">Эстелайт Постериор, светополимер (1шпр*4,2гр) Япония 03.03.2023 </t>
  </si>
  <si>
    <t xml:space="preserve"> коэффициент увеличения расхода  в зависимости от объема и др.</t>
  </si>
  <si>
    <t>Паста Клиник (Cleanic), без фтора, без вкуса и без красителей, в тюбике, 100 г, для чистки и полировки с изменяемой абразией, для проведения общей профилактической чистки, непосредственно предшествующей процедуре реставрации, KERR 06.04.2023</t>
  </si>
  <si>
    <t>Паста Клиник Мята Флюорид-Фрее (Cleanic Mint Fluoride-Free), без фтора, в тюбике, 100 г,вкус мяты, для чистки и полировки с изменяемой абразией, для проведения общей профилактической чистки, непосредственно предшествующей процедуре реставрации, KERR 06.04.2023</t>
  </si>
  <si>
    <t xml:space="preserve">Вектор полиш Vektor Fluid суспензия полировочнаядля применения в аппаратах Вектор 25.05.2018 200мл </t>
  </si>
  <si>
    <t>Септо-пак , 60 гр.- десенный компресс Защитная повязка на десну после местного лечения пародонтита. Временная повязка для ретракции десны перед лечением пришеечного кариеса (на 8 челюстей)(Септодонт) 06.04.2023</t>
  </si>
  <si>
    <t>Комплект изделий из гидроксиапатита с коллагеном и антимикробными средствами для заполнения костных полостей, стерильный "Коллапан": "Коллапан-Л"- с линкомицина гидрохлоридом (гранулы № 1) 06.04.2023</t>
  </si>
  <si>
    <t>Коллапан 06.12.2018</t>
  </si>
  <si>
    <t>Детартрин 3ет с цирконием для удаления з/камня (паста чистящая 45гр)  Септодонт 06.04.2023</t>
  </si>
  <si>
    <t>336.1</t>
  </si>
  <si>
    <t>337.2</t>
  </si>
  <si>
    <t xml:space="preserve">Вектор флюид Vektor Fluid (суспензия полировочная для применения в аппаратах Вектор) 06.04.2023   200мл </t>
  </si>
  <si>
    <t>амортизация аппарата</t>
  </si>
  <si>
    <t>цена  аппаратной обраотки</t>
  </si>
  <si>
    <t xml:space="preserve">Наложение защитной повязки на десну после  лечения пародонтита  или временной повязки для ретракции десны перед лечением пришеечного кариеса (десенный компресс из расчета на 1 челюсть) </t>
  </si>
  <si>
    <t>Заполнение костных полостей (челюстно-лицевой области) с применением  изделий из гидроксиапатита с коллагеном и антимикробными средствами, стерильный "Коллапан": "Коллапан-Л"- с линкомицина гидрохлоридом (гранулы № 1)</t>
  </si>
  <si>
    <t>Формирование пломбы из Эстелайт Балк Фил А2, зуб 2, объем пломбы 1/2 зуба</t>
  </si>
  <si>
    <t>Формирование пломбы из Эстелайт Балк Фил А2, зуб 1, 3, объем пломбы 1/2 зуба</t>
  </si>
  <si>
    <t>Формирование пломбы из Эстелайт Балк Фил А2, зуб 4, 5, объем пломбы 1/2 зуба</t>
  </si>
  <si>
    <t>Формирование пломбы из Эстелайт Балк Фил А2, зуб 6, 7, объем пломбы 1/2 зуба</t>
  </si>
  <si>
    <t>Формирование пломбы из Эстелайт Балк Фил А2, зуб 8, объем пломбы 1/2 зуба</t>
  </si>
  <si>
    <t>Формирование пломбы из Эстелайт Балк Фил А2, зуб 2, объем пломбы более 1/2 зуба</t>
  </si>
  <si>
    <t>Формирование пломбы из Эстелайт Балк Фил А2, зуб 1, 3, объем пломбы более 1/2 зуба</t>
  </si>
  <si>
    <t>Формирование пломбы из Эстелайт Балк Фил А2, зуб 4, 5, объем пломбы более 1/2 зуба</t>
  </si>
  <si>
    <t>Формирование пломбы из Эстелайт Балк Фил А2, зуб 6, 7, объем пломбы более 1/2 зуба</t>
  </si>
  <si>
    <t>Формирование пломбы из Эстелайт Балк Фил А2, зуб 8, объем пломбы более 1/2 зуба</t>
  </si>
  <si>
    <t>Цемент Maxcem Elite, самоадгезивный (Standart Kit , 5 шпр*5 гр) прокладка и пломба, Kerr</t>
  </si>
  <si>
    <t>Цемент Maxcem Elite, самоадгезивный, двойного отверждения (Standart Kit , 5 шпр*5 гр) прокладка и пломба, Kerr</t>
  </si>
  <si>
    <t>Формирование пломбы из цемента Maxcem Elit, зуб 2, объем пломбы 1/2 зуба</t>
  </si>
  <si>
    <t>Формирование пломбы из  цемента Maxcem Elit, зуб 1, 3, объем пломбы 1/2 зуба</t>
  </si>
  <si>
    <t>Формирование пломбы из  цемента Maxcem Elit, зуб 4, 5, объем пломбы 1/2 зуба</t>
  </si>
  <si>
    <t>Формирование пломбы из  цемента Maxcem Elit, зуб 6, 7, объем пломбы 1/2 зуба</t>
  </si>
  <si>
    <t>Формирование пломбы из  цемента Maxcem Elit, зуб 8, объем пломбы 1/2 зуба</t>
  </si>
  <si>
    <t>Формирование пломбы из  цемента Maxcem Elit, зуб 2, объем пломбы более 1/2 зуба</t>
  </si>
  <si>
    <t>Формирование пломбы из  цемента Maxcem Elit, зуб 1, 3, объем пломбы более 1/2 зуба</t>
  </si>
  <si>
    <t>Формирование пломбы из  цемента Maxcem Elit, зуб 4, 5, объем пломбы более 1/2 зуба</t>
  </si>
  <si>
    <t>Формирование пломбы из  цемента Maxcem Elit, зуб 6, 7, объем пломбы более 1/2 зуба</t>
  </si>
  <si>
    <t>Формирование пломбы из  цемента Maxcem Elit, зуб 8, объем пломбы более 1/2 зуба</t>
  </si>
  <si>
    <t xml:space="preserve">Супер полиш SuperPolish №361  (без фтора) паста полировочная  06.04.2023   200мл </t>
  </si>
  <si>
    <t xml:space="preserve">Клеан полиш CleanPolish  (без фтора) паста полировочная 06.04.2023   200мл </t>
  </si>
  <si>
    <t>Проведение профилактической чистки перед реставрацией пастой Клиник Мята Флюорид-Фрее (Cleanic Mint Fluoride-Free), без фтора со вкусом мяты (чистка и полировка) KERR</t>
  </si>
  <si>
    <t>Проведение профилактической чистки перед реставрацией пастой полировочной без фтора  Клеан полиш (CleanPolish), KERR</t>
  </si>
  <si>
    <t>Проведение профилактической чистки перед реставрацией пастой полировочной абразивной, без фтора Супер полиш (SuperPolish №361), KERR</t>
  </si>
  <si>
    <t xml:space="preserve">Проведение профилактической чистки перед реставрацией пастой абразивной Клиник (Cleanic), без фтора, без вкуса и без красителей, KERR </t>
  </si>
  <si>
    <t>Профессиональная чистка  пастой "Детартрин 3ет" с цирконием, перед изготовлением композитных реставраций; удаление зубного налета; пигментаций, в т.ч. «налета курильщика»; полирование поверхности зубов , Septodont</t>
  </si>
  <si>
    <t xml:space="preserve">Процедура  аппаратом «ВЕКТОР» с использованием суспензии полировочной Вектор флюид (Vektor Fluid - для применения в аппаратах  типа вектор) </t>
  </si>
  <si>
    <t>Артикаин Инибса раствор для инъекций (40мг+0,010 мг/мл) (упак-1,8 мл №100 картридж)     Laborotorios Inibsa (№2427/Т05, 15.05.202310013160/210622/3311242, ИСПАНИЯ) накладная КК-32446 12.09.2022</t>
  </si>
  <si>
    <t>Порошок лечебный "Air Flow"-лимон,  300гр,  20.04.2022 (</t>
  </si>
  <si>
    <t>Порошок лечебный "Air Flow"-лимон-вишня,без вкуса  300гр,  15.05.2023 (</t>
  </si>
  <si>
    <t>Эндофил (15 гр. +15мл.каналы)15.05.2023</t>
  </si>
  <si>
    <t>ЧамФил-Флоу (-  прокладка жидкотекучим светотверждаемым пломбировочным материалом)  - 2шпр*2гр, Республика Корея, 15.05.2023</t>
  </si>
  <si>
    <t>Эстелайт Астериа светополимер (1шпр*4гр)  Япония 15.05.2023</t>
  </si>
  <si>
    <t xml:space="preserve"> Нить ретракционная Ультрапак  15.05.2023</t>
  </si>
  <si>
    <t>Нити хирургические стерильные, синтетические, рассасывающиеся, с атравматическими иглами и без: ВИКРИЛ (VIKRIL) 4/0;5/0, 75см, колющая 17мм, фиол. Мексика   15.05.2023</t>
  </si>
  <si>
    <t>Нити хирургические стерильные, синтетические, не рассасывающиеся, с атравматическими иглами : РЕЗОЛОН 4/0;5/0, 45см, колющая 17мм, фиол. Мексика   15.05.2023</t>
  </si>
  <si>
    <t>Эстелайт Сигма А1  (1шпр*3,8гр) Токияма, Япония 06.04.2023</t>
  </si>
  <si>
    <t>Эстелайт Постериор РА2  (1шпр*4,2гр) Токияма, Япония 06.04.2023</t>
  </si>
  <si>
    <t>Эстелайт Постериор РА3  (1шпр*4,2гр) Токияма, Япония 06.04.2023</t>
  </si>
  <si>
    <t>Эстелайт Сигма Квик ОРА2  (1шпр*3,8гр) Токияма, Япония 06.04.2023</t>
  </si>
  <si>
    <t>Эстелайт Сигма Квик светополимер (9шпр*3,8гр) 15.05.2023</t>
  </si>
  <si>
    <r>
      <t xml:space="preserve">Формирование </t>
    </r>
    <r>
      <rPr>
        <b/>
        <sz val="10"/>
        <rFont val="Times New Roman"/>
        <family val="1"/>
        <charset val="204"/>
      </rPr>
      <t xml:space="preserve">прокладки </t>
    </r>
    <r>
      <rPr>
        <sz val="10"/>
        <rFont val="Times New Roman"/>
        <family val="1"/>
        <charset val="204"/>
      </rPr>
      <t xml:space="preserve">из Эстелайт Юниверсал Флоу Хай ОРА2, Токияма, Япония </t>
    </r>
  </si>
  <si>
    <r>
      <t xml:space="preserve">Формирование </t>
    </r>
    <r>
      <rPr>
        <b/>
        <sz val="10"/>
        <rFont val="Times New Roman"/>
        <family val="1"/>
        <charset val="204"/>
      </rPr>
      <t>прокладки</t>
    </r>
    <r>
      <rPr>
        <sz val="10"/>
        <rFont val="Times New Roman"/>
        <family val="1"/>
        <charset val="204"/>
      </rPr>
      <t xml:space="preserve"> из Эстелайт Балк Фил А2, Токияма, Япония </t>
    </r>
  </si>
  <si>
    <r>
      <t xml:space="preserve">Формирование </t>
    </r>
    <r>
      <rPr>
        <b/>
        <sz val="10"/>
        <rFont val="Times New Roman"/>
        <family val="1"/>
        <charset val="204"/>
      </rPr>
      <t>прокладки</t>
    </r>
    <r>
      <rPr>
        <sz val="10"/>
        <rFont val="Times New Roman"/>
        <family val="1"/>
        <charset val="204"/>
      </rPr>
      <t xml:space="preserve"> из цемента Maxcem Elite, самоадгезивного, двойного отверждения,  KERR</t>
    </r>
  </si>
  <si>
    <t xml:space="preserve">Порошок лечебный "Air Flow"-лимон-вишня,без вкуса </t>
  </si>
  <si>
    <t>Артикаин Инибса раствор для инъекций (картридж)     Laborotorios Inibsa, ИСПАНИЯ</t>
  </si>
  <si>
    <t>ЧамФил-Флоу (прокладка жидкотекучим светотверждаемым пломбировочным материалом) Республика Корея</t>
  </si>
  <si>
    <t xml:space="preserve">Нити хирургические стерильные, синтетические, рассасывающиеся, с атравматическими иглами и без: ВИКРИЛ (VIKRIL) Мексика  </t>
  </si>
  <si>
    <t xml:space="preserve"> Нить ретракционная Ультрапак </t>
  </si>
  <si>
    <t>Эндофил (.каналы)</t>
  </si>
  <si>
    <t>Нити хирургические стерильные, синтетические, не рассасывающиеся, с атравматическими иглами : РЕЗОЛОН, Германия</t>
  </si>
  <si>
    <t>Формирование пломбы из Эстелайт АстериаА2, зуб 2, объем пломбы 1/2 зуба</t>
  </si>
  <si>
    <t>Формирование пломбы из Эстелайт Астериа А2, зуб 1, 3, объем пломбы 1/2 зуба</t>
  </si>
  <si>
    <t>Формирование пломбы из Эстелайт Астериа А2, зуб 4, 5, объем пломбы 1/2 зуба</t>
  </si>
  <si>
    <t>Формирование пломбы из Эстелайт Астериа А2, зуб 6, 7, объем пломбы 1/2 зуба</t>
  </si>
  <si>
    <t>Формирование пломбы из Эстелайт Астериа А2, зуб 8, объем пломбы 1/2 зуба</t>
  </si>
  <si>
    <t>Формирование пломбы из Эстелайт Астериа А2, зуб 2, объем пломбы более 1/2 зуба</t>
  </si>
  <si>
    <t>Формирование пломбы из Эстелайт Астериа А2, зуб 1, 3, объем пломбы более 1/2 зуба</t>
  </si>
  <si>
    <t>Формирование пломбы из Эстелайт Астериа А2, зуб 4, 5, объем пломбы более 1/2 зуба</t>
  </si>
  <si>
    <t>Формирование пломбы из Эстелайт Астериа А2, зуб 6, 7, объем пломбы более 1/2 зуба</t>
  </si>
  <si>
    <t>Формирование пломбы из Эстелайт Астериа А2, зуб 8, объем пломбы более 1/2 зуба</t>
  </si>
  <si>
    <t>Формирование пломбы из Эстелайт Сигма Квик А2, зуб 2, объем пломбы 1/2 зуба</t>
  </si>
  <si>
    <t>Формирование пломбы из Эстелайт Сигма Квик А2, зуб 1, 3, объем пломбы 1/2 зуба</t>
  </si>
  <si>
    <t>Формирование пломбы из Эстелайт Сигма Квик А2, зуб 4, 5, объем пломбы 1/2 зуба</t>
  </si>
  <si>
    <t>Формирование пломбы из Эстелайт Сигма Квик А2, зуб 6, 7, объем пломбы 1/2 зуба</t>
  </si>
  <si>
    <t>Формирование пломбы из Эстелайт Сигма Квик А2, зуб 8, объем пломбы 1/2 зуба</t>
  </si>
  <si>
    <t>Формирование пломбы из Эстелайт Сигма Квик А2, зуб 2, объем пломбы более 1/2 зуба</t>
  </si>
  <si>
    <t>Формирование пломбы из Эстелайт Сигма Квик А2, зуб 1, 3, объем пломбы более 1/2 зуба</t>
  </si>
  <si>
    <t>Формирование пломбы из Эстелайт Сигма Квик А2, зуб 4, 5, объем пломбы более 1/2 зуба</t>
  </si>
  <si>
    <t>Формирование пломбы из Эстелайт Сигма Квик А2, зуб 6, 7, объем пломбы более 1/2 зуба</t>
  </si>
  <si>
    <t>Формирование пломбы из Эстелайт Сигма Квик А2, зуб 8, объем пломбы более 1/2 зуба</t>
  </si>
  <si>
    <t>в редакции от 06.03.2023</t>
  </si>
  <si>
    <t>в редакции от 13.04.2023</t>
  </si>
  <si>
    <t>в редакции от 17.05.2023</t>
  </si>
  <si>
    <t>Формирование искусственной десны керамическими массами при изготовлении протеза</t>
  </si>
  <si>
    <t>Норитаки Noritakе CZR Tissue 2 десневая масса для оксида циркония 10г Япония, цервикальная масса для изготовления искусственной керамической десны 31.05.2023</t>
  </si>
  <si>
    <t xml:space="preserve">Duceram Kiss десневой дентин Gum 1, 20г Производитель: DeguDent GmbH
Страна происхождения: Германия, цервикальная масса для изготовления искусственной керамической десны 31.05.2023 </t>
  </si>
  <si>
    <t>Протезирование сложно-челюстным протезом (зубной техник) 13.07.2023</t>
  </si>
  <si>
    <t>Установка крепления в конструкцию съемного протеза при протезировании на имплантах (зубной техник) 13.07.2023</t>
  </si>
  <si>
    <t>Изучение моделей в параллелометре (врач-ортопед) 13.07.2023</t>
  </si>
  <si>
    <t>Протезирование сложно-челюстным протезом (врач-ортопед) 13.07.2023</t>
  </si>
  <si>
    <t xml:space="preserve">Установка крепления в конструкцию съемного протеза при протезировании на имплантах </t>
  </si>
  <si>
    <t>А16.07.021.000.403</t>
  </si>
  <si>
    <t>А16.07.021.000.391</t>
  </si>
  <si>
    <t>A23.07.002.002.071</t>
  </si>
  <si>
    <t>A23.07.002.002.072</t>
  </si>
  <si>
    <t>в редакции от 01.06.2023</t>
  </si>
  <si>
    <t xml:space="preserve">Протезирование сложно-челюстным протезом </t>
  </si>
  <si>
    <t xml:space="preserve">Изучение моделей в параллелометре  </t>
  </si>
  <si>
    <t xml:space="preserve">Использование в конструкции протеза креплений Multi-Unit: MISS, OSSTEM </t>
  </si>
  <si>
    <t>Использование в конструкции протеза мультиюнита систем MISS, OSSTEM (врач-ортопед) 13.07.2023</t>
  </si>
  <si>
    <t>Мира Зр (mira Zr) Паста стоматологическая шлифовальная 31.07.2023</t>
  </si>
  <si>
    <t>в редакции о т17.07.2023</t>
  </si>
  <si>
    <t>в редакции от 17.07.2023</t>
  </si>
  <si>
    <t>Применение при профессиональной чистке  пасты шлифовальной "Мира зр.- (Mira Zr)" , производитель Kagayaki</t>
  </si>
  <si>
    <t>"Альвонес" по ТУ 9391-048-45814830-2001 --материал стоматологический гемостатический-для зубных лунок  паста 20гр/ВладМиВа  (Альвеолярные компрессы после удаления зубов для останавки кровотечение)  товарная накладная  КК-30392 от 07.08.2023 расчитан 15.08.2023</t>
  </si>
  <si>
    <t>в редакции от 01.08.2023</t>
  </si>
  <si>
    <t>Применение пасты гемостатической  "Альванес" по ТУ 9391-048-45814830-2001 для альвеолярных компрессов с целью остановки кровотечения</t>
  </si>
  <si>
    <t xml:space="preserve">Снятие цельнолитой коронки </t>
  </si>
  <si>
    <t>в редакции от 14.08.2023</t>
  </si>
  <si>
    <t>в редакции от 21.08.2023</t>
  </si>
  <si>
    <t>А16.07.004.1</t>
  </si>
  <si>
    <t>А 23.07.002.049.1</t>
  </si>
  <si>
    <t>А 16.07.003.1</t>
  </si>
  <si>
    <t>Восстановление зуба виниром из диоксида циркония 1 ед.</t>
  </si>
  <si>
    <t>А 23.07.002.054.2</t>
  </si>
  <si>
    <t>Изготовление винира из диоксида циркония 1 ед.</t>
  </si>
  <si>
    <t>Протезирование зубом, коронкой из диоксида циркония (анатомическая коронка) 1 ед.</t>
  </si>
  <si>
    <t>Изготовление зуба коронкой из диоксида циркония (анатомическая коронка) 1 ед.</t>
  </si>
  <si>
    <t>Протезирование зубом, коронкой из диоксида циркония (анатомическая коронка на имплант) 1 ед.</t>
  </si>
  <si>
    <t>Изготовление зуба, коронки из диоксида циркония  (анатомическая коронка на имплант) 1 ед.</t>
  </si>
  <si>
    <t>А16.07.004.11</t>
  </si>
  <si>
    <t>Протезирование коронкой или зубом из диоксида циркония (каркас+нанесение) 1 ед.</t>
  </si>
  <si>
    <t>А 23.07.002.049.11</t>
  </si>
  <si>
    <t>Изготоаление коронки или зуба из диоксида циркония (каркас) 1 ед.</t>
  </si>
  <si>
    <t>А 16.07.003.11</t>
  </si>
  <si>
    <t>А 23.07.002.054.21</t>
  </si>
  <si>
    <t>Восстановление зуба виниром E.Max. 1 ед.</t>
  </si>
  <si>
    <t>Изготовление винира  E.Max. 1 ед.1 ед.</t>
  </si>
  <si>
    <t>Восстановление эстетической формы, цвета зуба прямым способом с использованием светополимерных материалов 1 ед.</t>
  </si>
  <si>
    <t> A16.07.002.011 </t>
  </si>
  <si>
    <t>в редакции от 09.10.2023</t>
  </si>
  <si>
    <t>Применение кламмера литого из термопластической массы</t>
  </si>
  <si>
    <t>Изготовление базиса бюгельного протеза с пластмассовыми зубами из Acetal Dental</t>
  </si>
  <si>
    <t>Изготовление бюгельного каркаса из Acetal Dental</t>
  </si>
  <si>
    <t>Изготовление литого опорно-удерживающего кламмера из Acetal Dental</t>
  </si>
  <si>
    <t>Изготовление ограничителя базиса бюгельного протеза из Acetal Dental</t>
  </si>
  <si>
    <t>Изготовление седла бюгельного протеза из Acetal Dental</t>
  </si>
  <si>
    <t>в редакции от 07.11.2023</t>
  </si>
  <si>
    <t xml:space="preserve">Применение Ультракаин ДS форте №100                                                                        </t>
  </si>
  <si>
    <t xml:space="preserve">Пломбирование каналов Эндометазон                                                                       </t>
  </si>
  <si>
    <t xml:space="preserve">Использование при пломбировании каналов штифтов гуттаперчевых                       </t>
  </si>
  <si>
    <t>Изготовление коронки металлической штампованной (от 09.11.2023  - исключен)</t>
  </si>
  <si>
    <t>действует с 09.11.2023</t>
  </si>
  <si>
    <t>цена, руб.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</si>
</sst>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%"/>
    <numFmt numFmtId="166" formatCode="#,##0.00&quot;р.&quot;"/>
    <numFmt numFmtId="167" formatCode="#,##0.00_р_."/>
    <numFmt numFmtId="168" formatCode="#,##0.00\ _₽"/>
  </numFmts>
  <fonts count="5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8"/>
      <name val="Rockwell"/>
      <family val="1"/>
    </font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8"/>
      <color rgb="FFFF0000"/>
      <name val="Arial Cyr"/>
      <charset val="204"/>
    </font>
    <font>
      <b/>
      <sz val="10"/>
      <name val="Symbol"/>
      <family val="1"/>
      <charset val="2"/>
    </font>
    <font>
      <b/>
      <sz val="11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441">
    <xf numFmtId="0" fontId="0" fillId="0" borderId="0" xfId="0"/>
    <xf numFmtId="43" fontId="3" fillId="3" borderId="1" xfId="0" applyNumberFormat="1" applyFont="1" applyFill="1" applyBorder="1" applyAlignment="1">
      <alignment horizontal="center" vertical="center" wrapText="1"/>
    </xf>
    <xf numFmtId="43" fontId="3" fillId="3" borderId="3" xfId="0" applyNumberFormat="1" applyFont="1" applyFill="1" applyBorder="1" applyAlignment="1">
      <alignment horizontal="center" vertical="center" wrapText="1"/>
    </xf>
    <xf numFmtId="4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43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43" fontId="13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vertical="center"/>
    </xf>
    <xf numFmtId="43" fontId="4" fillId="3" borderId="1" xfId="0" applyNumberFormat="1" applyFont="1" applyFill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vertical="center"/>
    </xf>
    <xf numFmtId="43" fontId="23" fillId="3" borderId="1" xfId="0" applyNumberFormat="1" applyFont="1" applyFill="1" applyBorder="1" applyAlignment="1">
      <alignment vertical="center"/>
    </xf>
    <xf numFmtId="10" fontId="2" fillId="3" borderId="0" xfId="1" applyNumberFormat="1" applyFont="1" applyFill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43" fontId="2" fillId="3" borderId="3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2" fontId="2" fillId="3" borderId="0" xfId="0" applyNumberFormat="1" applyFont="1" applyFill="1" applyAlignment="1">
      <alignment horizontal="right" vertical="center"/>
    </xf>
    <xf numFmtId="0" fontId="1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5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vertical="center"/>
    </xf>
    <xf numFmtId="14" fontId="23" fillId="3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9" fontId="2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9" fontId="35" fillId="0" borderId="1" xfId="0" applyNumberFormat="1" applyFont="1" applyFill="1" applyBorder="1" applyAlignment="1">
      <alignment horizontal="center" vertical="center" wrapText="1"/>
    </xf>
    <xf numFmtId="43" fontId="25" fillId="0" borderId="1" xfId="3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11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7" fontId="11" fillId="0" borderId="17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2" fontId="13" fillId="3" borderId="5" xfId="0" applyNumberFormat="1" applyFont="1" applyFill="1" applyBorder="1" applyAlignment="1">
      <alignment horizontal="center" vertical="center"/>
    </xf>
    <xf numFmtId="166" fontId="11" fillId="3" borderId="5" xfId="0" applyNumberFormat="1" applyFont="1" applyFill="1" applyBorder="1" applyAlignment="1">
      <alignment horizontal="right" vertical="center"/>
    </xf>
    <xf numFmtId="167" fontId="11" fillId="0" borderId="5" xfId="0" applyNumberFormat="1" applyFont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7" fontId="11" fillId="0" borderId="3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7" fontId="11" fillId="0" borderId="17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38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166" fontId="12" fillId="8" borderId="0" xfId="0" applyNumberFormat="1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11" fillId="8" borderId="0" xfId="0" applyFont="1" applyFill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166" fontId="23" fillId="4" borderId="1" xfId="0" applyNumberFormat="1" applyFont="1" applyFill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167" fontId="11" fillId="0" borderId="22" xfId="0" applyNumberFormat="1" applyFont="1" applyBorder="1" applyAlignment="1">
      <alignment vertical="center"/>
    </xf>
    <xf numFmtId="167" fontId="11" fillId="8" borderId="0" xfId="0" applyNumberFormat="1" applyFont="1" applyFill="1" applyBorder="1" applyAlignment="1">
      <alignment vertical="center"/>
    </xf>
    <xf numFmtId="166" fontId="3" fillId="8" borderId="0" xfId="0" applyNumberFormat="1" applyFont="1" applyFill="1" applyBorder="1" applyAlignment="1">
      <alignment vertical="center" wrapText="1"/>
    </xf>
    <xf numFmtId="0" fontId="40" fillId="11" borderId="1" xfId="0" applyFont="1" applyFill="1" applyBorder="1" applyAlignment="1">
      <alignment vertical="center" wrapText="1"/>
    </xf>
    <xf numFmtId="0" fontId="42" fillId="11" borderId="1" xfId="0" applyFont="1" applyFill="1" applyBorder="1" applyAlignment="1">
      <alignment horizontal="center" vertical="center"/>
    </xf>
    <xf numFmtId="0" fontId="42" fillId="11" borderId="5" xfId="0" applyFont="1" applyFill="1" applyBorder="1" applyAlignment="1">
      <alignment horizontal="center" vertical="center"/>
    </xf>
    <xf numFmtId="0" fontId="40" fillId="11" borderId="15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167" fontId="6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7" fontId="11" fillId="0" borderId="1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23" fillId="7" borderId="1" xfId="0" applyFont="1" applyFill="1" applyBorder="1" applyAlignment="1">
      <alignment vertical="center" wrapText="1"/>
    </xf>
    <xf numFmtId="0" fontId="41" fillId="7" borderId="1" xfId="0" applyFont="1" applyFill="1" applyBorder="1" applyAlignment="1">
      <alignment horizontal="center" vertical="center"/>
    </xf>
    <xf numFmtId="1" fontId="41" fillId="7" borderId="1" xfId="0" applyNumberFormat="1" applyFont="1" applyFill="1" applyBorder="1" applyAlignment="1">
      <alignment horizontal="center" vertical="center"/>
    </xf>
    <xf numFmtId="166" fontId="23" fillId="7" borderId="1" xfId="0" applyNumberFormat="1" applyFont="1" applyFill="1" applyBorder="1" applyAlignment="1">
      <alignment horizontal="right" vertical="center"/>
    </xf>
    <xf numFmtId="166" fontId="14" fillId="7" borderId="1" xfId="0" applyNumberFormat="1" applyFont="1" applyFill="1" applyBorder="1" applyAlignment="1">
      <alignment horizontal="right" vertical="center"/>
    </xf>
    <xf numFmtId="1" fontId="41" fillId="6" borderId="1" xfId="0" applyNumberFormat="1" applyFont="1" applyFill="1" applyBorder="1" applyAlignment="1">
      <alignment horizontal="center" vertical="center"/>
    </xf>
    <xf numFmtId="167" fontId="14" fillId="7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" fontId="45" fillId="7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vertical="center" wrapText="1"/>
    </xf>
    <xf numFmtId="0" fontId="41" fillId="5" borderId="9" xfId="0" applyFont="1" applyFill="1" applyBorder="1" applyAlignment="1">
      <alignment horizontal="center" vertical="center"/>
    </xf>
    <xf numFmtId="1" fontId="41" fillId="5" borderId="9" xfId="0" applyNumberFormat="1" applyFont="1" applyFill="1" applyBorder="1" applyAlignment="1">
      <alignment horizontal="center" vertical="center"/>
    </xf>
    <xf numFmtId="43" fontId="23" fillId="5" borderId="9" xfId="0" applyNumberFormat="1" applyFont="1" applyFill="1" applyBorder="1" applyAlignment="1">
      <alignment horizontal="right" vertical="center"/>
    </xf>
    <xf numFmtId="166" fontId="14" fillId="5" borderId="9" xfId="0" applyNumberFormat="1" applyFont="1" applyFill="1" applyBorder="1" applyAlignment="1">
      <alignment horizontal="right" vertical="center"/>
    </xf>
    <xf numFmtId="166" fontId="23" fillId="5" borderId="9" xfId="0" applyNumberFormat="1" applyFont="1" applyFill="1" applyBorder="1" applyAlignment="1">
      <alignment horizontal="right" vertical="center"/>
    </xf>
    <xf numFmtId="167" fontId="14" fillId="5" borderId="19" xfId="0" applyNumberFormat="1" applyFont="1" applyFill="1" applyBorder="1" applyAlignment="1">
      <alignment vertical="center"/>
    </xf>
    <xf numFmtId="166" fontId="23" fillId="5" borderId="1" xfId="0" applyNumberFormat="1" applyFont="1" applyFill="1" applyBorder="1" applyAlignment="1">
      <alignment vertical="center" wrapText="1"/>
    </xf>
    <xf numFmtId="43" fontId="24" fillId="5" borderId="9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66" fontId="23" fillId="4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1" fontId="11" fillId="0" borderId="9" xfId="0" applyNumberFormat="1" applyFont="1" applyFill="1" applyBorder="1" applyAlignment="1">
      <alignment horizontal="center" vertical="center" wrapText="1"/>
    </xf>
    <xf numFmtId="1" fontId="4" fillId="6" borderId="9" xfId="0" applyNumberFormat="1" applyFont="1" applyFill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right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4" fillId="6" borderId="12" xfId="0" applyNumberFormat="1" applyFont="1" applyFill="1" applyBorder="1" applyAlignment="1">
      <alignment horizontal="center" vertical="center" wrapText="1"/>
    </xf>
    <xf numFmtId="166" fontId="12" fillId="6" borderId="9" xfId="0" applyNumberFormat="1" applyFont="1" applyFill="1" applyBorder="1" applyAlignment="1">
      <alignment horizontal="right" vertical="center" wrapText="1"/>
    </xf>
    <xf numFmtId="166" fontId="39" fillId="0" borderId="9" xfId="0" applyNumberFormat="1" applyFont="1" applyBorder="1" applyAlignment="1">
      <alignment horizontal="right" vertical="center"/>
    </xf>
    <xf numFmtId="166" fontId="12" fillId="0" borderId="9" xfId="0" applyNumberFormat="1" applyFont="1" applyBorder="1" applyAlignment="1">
      <alignment horizontal="right" vertical="center"/>
    </xf>
    <xf numFmtId="1" fontId="4" fillId="6" borderId="9" xfId="0" applyNumberFormat="1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166" fontId="39" fillId="0" borderId="12" xfId="0" applyNumberFormat="1" applyFont="1" applyBorder="1" applyAlignment="1">
      <alignment horizontal="right" vertical="center"/>
    </xf>
    <xf numFmtId="166" fontId="12" fillId="0" borderId="12" xfId="0" applyNumberFormat="1" applyFont="1" applyBorder="1" applyAlignment="1">
      <alignment horizontal="right" vertical="center"/>
    </xf>
    <xf numFmtId="0" fontId="23" fillId="7" borderId="0" xfId="0" applyFont="1" applyFill="1" applyBorder="1" applyAlignment="1">
      <alignment vertical="center" wrapText="1"/>
    </xf>
    <xf numFmtId="0" fontId="41" fillId="7" borderId="0" xfId="0" applyFont="1" applyFill="1" applyBorder="1" applyAlignment="1">
      <alignment horizontal="center" vertical="center"/>
    </xf>
    <xf numFmtId="1" fontId="41" fillId="7" borderId="0" xfId="0" applyNumberFormat="1" applyFont="1" applyFill="1" applyBorder="1" applyAlignment="1">
      <alignment horizontal="center" vertical="center"/>
    </xf>
    <xf numFmtId="166" fontId="23" fillId="7" borderId="0" xfId="0" applyNumberFormat="1" applyFont="1" applyFill="1" applyBorder="1" applyAlignment="1">
      <alignment horizontal="right" vertical="center"/>
    </xf>
    <xf numFmtId="166" fontId="14" fillId="7" borderId="0" xfId="0" applyNumberFormat="1" applyFont="1" applyFill="1" applyBorder="1" applyAlignment="1">
      <alignment horizontal="right" vertical="center"/>
    </xf>
    <xf numFmtId="1" fontId="41" fillId="6" borderId="0" xfId="0" applyNumberFormat="1" applyFont="1" applyFill="1" applyBorder="1" applyAlignment="1">
      <alignment horizontal="center" vertical="center"/>
    </xf>
    <xf numFmtId="167" fontId="14" fillId="7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 wrapText="1"/>
    </xf>
    <xf numFmtId="0" fontId="4" fillId="9" borderId="0" xfId="0" applyFont="1" applyFill="1" applyBorder="1" applyAlignment="1">
      <alignment horizontal="center" vertical="center"/>
    </xf>
    <xf numFmtId="1" fontId="4" fillId="9" borderId="0" xfId="0" applyNumberFormat="1" applyFont="1" applyFill="1" applyBorder="1" applyAlignment="1">
      <alignment horizontal="center" vertical="center"/>
    </xf>
    <xf numFmtId="166" fontId="12" fillId="9" borderId="0" xfId="0" applyNumberFormat="1" applyFont="1" applyFill="1" applyBorder="1" applyAlignment="1">
      <alignment horizontal="right" vertical="center"/>
    </xf>
    <xf numFmtId="166" fontId="11" fillId="9" borderId="0" xfId="0" applyNumberFormat="1" applyFont="1" applyFill="1" applyBorder="1" applyAlignment="1">
      <alignment horizontal="right" vertical="center"/>
    </xf>
    <xf numFmtId="1" fontId="4" fillId="10" borderId="0" xfId="0" applyNumberFormat="1" applyFont="1" applyFill="1" applyBorder="1" applyAlignment="1">
      <alignment horizontal="center" vertical="center"/>
    </xf>
    <xf numFmtId="167" fontId="11" fillId="9" borderId="0" xfId="0" applyNumberFormat="1" applyFont="1" applyFill="1" applyBorder="1" applyAlignment="1">
      <alignment vertical="center"/>
    </xf>
    <xf numFmtId="1" fontId="4" fillId="6" borderId="1" xfId="0" applyNumberFormat="1" applyFont="1" applyFill="1" applyBorder="1" applyAlignment="1">
      <alignment horizontal="center" vertical="center"/>
    </xf>
    <xf numFmtId="1" fontId="42" fillId="6" borderId="9" xfId="0" applyNumberFormat="1" applyFont="1" applyFill="1" applyBorder="1" applyAlignment="1">
      <alignment horizontal="center" vertical="center"/>
    </xf>
    <xf numFmtId="166" fontId="39" fillId="11" borderId="9" xfId="0" applyNumberFormat="1" applyFont="1" applyFill="1" applyBorder="1" applyAlignment="1">
      <alignment horizontal="right" vertical="center"/>
    </xf>
    <xf numFmtId="166" fontId="39" fillId="11" borderId="1" xfId="0" applyNumberFormat="1" applyFont="1" applyFill="1" applyBorder="1" applyAlignment="1">
      <alignment horizontal="right" vertical="center"/>
    </xf>
    <xf numFmtId="166" fontId="12" fillId="6" borderId="9" xfId="0" applyNumberFormat="1" applyFont="1" applyFill="1" applyBorder="1" applyAlignment="1">
      <alignment horizontal="right" vertical="center"/>
    </xf>
    <xf numFmtId="166" fontId="12" fillId="8" borderId="0" xfId="0" applyNumberFormat="1" applyFont="1" applyFill="1" applyBorder="1" applyAlignment="1">
      <alignment horizontal="right" vertical="center"/>
    </xf>
    <xf numFmtId="168" fontId="12" fillId="0" borderId="1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15" fillId="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11" borderId="2" xfId="0" applyFont="1" applyFill="1" applyBorder="1" applyAlignment="1">
      <alignment vertical="center"/>
    </xf>
    <xf numFmtId="0" fontId="11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/>
    </xf>
    <xf numFmtId="166" fontId="12" fillId="11" borderId="12" xfId="0" applyNumberFormat="1" applyFont="1" applyFill="1" applyBorder="1" applyAlignment="1">
      <alignment horizontal="right" vertical="center"/>
    </xf>
    <xf numFmtId="0" fontId="4" fillId="11" borderId="5" xfId="0" applyFont="1" applyFill="1" applyBorder="1" applyAlignment="1">
      <alignment horizontal="center" vertical="center"/>
    </xf>
    <xf numFmtId="166" fontId="12" fillId="11" borderId="9" xfId="0" applyNumberFormat="1" applyFont="1" applyFill="1" applyBorder="1" applyAlignment="1">
      <alignment horizontal="right" vertical="center"/>
    </xf>
    <xf numFmtId="166" fontId="12" fillId="0" borderId="20" xfId="0" applyNumberFormat="1" applyFont="1" applyBorder="1" applyAlignment="1">
      <alignment horizontal="right" vertical="center"/>
    </xf>
    <xf numFmtId="43" fontId="12" fillId="0" borderId="1" xfId="0" applyNumberFormat="1" applyFont="1" applyBorder="1" applyAlignment="1">
      <alignment horizontal="right" vertical="center"/>
    </xf>
    <xf numFmtId="166" fontId="12" fillId="0" borderId="12" xfId="0" applyNumberFormat="1" applyFont="1" applyBorder="1" applyAlignment="1">
      <alignment horizontal="right" vertical="center" wrapText="1"/>
    </xf>
    <xf numFmtId="166" fontId="12" fillId="0" borderId="20" xfId="0" applyNumberFormat="1" applyFont="1" applyBorder="1" applyAlignment="1">
      <alignment horizontal="right" vertical="center" wrapText="1"/>
    </xf>
    <xf numFmtId="43" fontId="12" fillId="0" borderId="1" xfId="0" applyNumberFormat="1" applyFont="1" applyBorder="1" applyAlignment="1">
      <alignment horizontal="right" vertical="center" wrapText="1"/>
    </xf>
    <xf numFmtId="16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9" fontId="30" fillId="2" borderId="1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43" fontId="2" fillId="3" borderId="0" xfId="0" applyNumberFormat="1" applyFont="1" applyFill="1" applyAlignment="1">
      <alignment vertical="center"/>
    </xf>
    <xf numFmtId="0" fontId="25" fillId="3" borderId="1" xfId="0" applyFont="1" applyFill="1" applyBorder="1" applyAlignment="1">
      <alignment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vertical="center" wrapText="1"/>
    </xf>
    <xf numFmtId="2" fontId="30" fillId="12" borderId="1" xfId="0" applyNumberFormat="1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9" fontId="35" fillId="3" borderId="1" xfId="0" applyNumberFormat="1" applyFont="1" applyFill="1" applyBorder="1" applyAlignment="1">
      <alignment horizontal="center" vertical="center" wrapText="1"/>
    </xf>
    <xf numFmtId="9" fontId="25" fillId="3" borderId="0" xfId="1" applyFont="1" applyFill="1" applyAlignment="1">
      <alignment vertical="center" wrapText="1"/>
    </xf>
    <xf numFmtId="2" fontId="26" fillId="3" borderId="0" xfId="0" applyNumberFormat="1" applyFont="1" applyFill="1" applyAlignment="1">
      <alignment horizontal="center" vertical="center" wrapText="1"/>
    </xf>
    <xf numFmtId="0" fontId="25" fillId="3" borderId="5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2" fontId="25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1" fontId="25" fillId="3" borderId="0" xfId="0" applyNumberFormat="1" applyFont="1" applyFill="1" applyBorder="1" applyAlignment="1">
      <alignment horizontal="center" vertical="center" wrapText="1"/>
    </xf>
    <xf numFmtId="9" fontId="25" fillId="3" borderId="0" xfId="0" applyNumberFormat="1" applyFont="1" applyFill="1" applyBorder="1" applyAlignment="1">
      <alignment horizontal="center" vertical="center" wrapText="1"/>
    </xf>
    <xf numFmtId="9" fontId="35" fillId="3" borderId="0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9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43" fontId="23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43" fontId="2" fillId="0" borderId="3" xfId="0" applyNumberFormat="1" applyFont="1" applyFill="1" applyBorder="1" applyAlignment="1">
      <alignment vertical="center"/>
    </xf>
    <xf numFmtId="10" fontId="2" fillId="0" borderId="0" xfId="1" applyNumberFormat="1" applyFont="1" applyFill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3" fontId="1" fillId="0" borderId="5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Fill="1" applyBorder="1" applyAlignment="1">
      <alignment vertical="center"/>
    </xf>
    <xf numFmtId="43" fontId="2" fillId="0" borderId="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43" fontId="14" fillId="0" borderId="1" xfId="0" applyNumberFormat="1" applyFont="1" applyFill="1" applyBorder="1" applyAlignment="1">
      <alignment horizontal="left" vertical="center" wrapText="1"/>
    </xf>
    <xf numFmtId="43" fontId="23" fillId="0" borderId="1" xfId="0" applyNumberFormat="1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 wrapText="1"/>
    </xf>
    <xf numFmtId="43" fontId="1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23" fillId="0" borderId="5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9" fontId="30" fillId="3" borderId="1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26" fillId="3" borderId="0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2" fontId="25" fillId="3" borderId="4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43" fontId="23" fillId="3" borderId="5" xfId="0" applyNumberFormat="1" applyFont="1" applyFill="1" applyBorder="1" applyAlignment="1">
      <alignment vertical="center"/>
    </xf>
    <xf numFmtId="0" fontId="30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justify" vertical="center" wrapText="1"/>
    </xf>
    <xf numFmtId="2" fontId="31" fillId="2" borderId="0" xfId="0" applyNumberFormat="1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43" fontId="24" fillId="2" borderId="1" xfId="0" applyNumberFormat="1" applyFont="1" applyFill="1" applyBorder="1" applyAlignment="1">
      <alignment vertical="center"/>
    </xf>
    <xf numFmtId="43" fontId="24" fillId="3" borderId="1" xfId="0" applyNumberFormat="1" applyFont="1" applyFill="1" applyBorder="1" applyAlignment="1">
      <alignment vertical="center"/>
    </xf>
    <xf numFmtId="0" fontId="47" fillId="2" borderId="2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9" fillId="2" borderId="25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43" fontId="23" fillId="2" borderId="25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" fontId="2" fillId="3" borderId="4" xfId="0" applyNumberFormat="1" applyFont="1" applyFill="1" applyBorder="1" applyAlignment="1">
      <alignment vertical="center"/>
    </xf>
    <xf numFmtId="2" fontId="19" fillId="3" borderId="1" xfId="0" applyNumberFormat="1" applyFont="1" applyFill="1" applyBorder="1" applyAlignment="1">
      <alignment horizontal="right" vertical="center" wrapText="1"/>
    </xf>
    <xf numFmtId="43" fontId="19" fillId="3" borderId="1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/>
    </xf>
    <xf numFmtId="0" fontId="47" fillId="3" borderId="25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vertical="center" wrapText="1"/>
    </xf>
    <xf numFmtId="0" fontId="49" fillId="3" borderId="25" xfId="0" applyFont="1" applyFill="1" applyBorder="1" applyAlignment="1">
      <alignment vertical="center" wrapText="1"/>
    </xf>
    <xf numFmtId="43" fontId="24" fillId="3" borderId="25" xfId="0" applyNumberFormat="1" applyFont="1" applyFill="1" applyBorder="1" applyAlignment="1">
      <alignment vertical="center"/>
    </xf>
    <xf numFmtId="0" fontId="47" fillId="3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vertical="center" wrapText="1"/>
    </xf>
    <xf numFmtId="0" fontId="49" fillId="3" borderId="1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43" fontId="23" fillId="3" borderId="5" xfId="0" applyNumberFormat="1" applyFont="1" applyFill="1" applyBorder="1" applyAlignment="1">
      <alignment vertical="center"/>
    </xf>
    <xf numFmtId="43" fontId="23" fillId="3" borderId="18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 wrapText="1"/>
    </xf>
    <xf numFmtId="0" fontId="46" fillId="3" borderId="0" xfId="0" applyFont="1" applyFill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14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12" borderId="3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25" fillId="12" borderId="2" xfId="0" applyFont="1" applyFill="1" applyBorder="1" applyAlignment="1">
      <alignment horizontal="center" vertical="center" wrapText="1"/>
    </xf>
    <xf numFmtId="166" fontId="3" fillId="4" borderId="10" xfId="0" applyNumberFormat="1" applyFont="1" applyFill="1" applyBorder="1" applyAlignment="1">
      <alignment vertical="center" wrapText="1"/>
    </xf>
    <xf numFmtId="166" fontId="3" fillId="4" borderId="13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7" fontId="11" fillId="0" borderId="9" xfId="0" applyNumberFormat="1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23" fillId="4" borderId="1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Font="1" applyFill="1"/>
    <xf numFmtId="0" fontId="0" fillId="0" borderId="13" xfId="0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vertical="center" wrapText="1"/>
    </xf>
    <xf numFmtId="0" fontId="23" fillId="5" borderId="11" xfId="0" applyFont="1" applyFill="1" applyBorder="1" applyAlignment="1">
      <alignment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9" fontId="3" fillId="0" borderId="9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llshare/fullshare/&#1055;&#1051;&#1040;&#1058;&#1053;&#1067;&#1045;/&#1055;&#1056;&#1045;&#1049;&#1057;&#1050;&#1059;&#1056;&#1040;&#1053;&#1058;&#1067;%20&#1076;&#1086;&#1088;&#1086;&#1075;%20&#1084;&#1072;&#1090;&#1077;&#1088;/&#1055;&#1088;&#1077;&#1081;&#1089;&#1082;%202022/21.03.2022/(5)&#1042;&#1057;&#1025;!!!%20&#1089;%20&#1080;&#1079;&#1084;%2021.03.2022%20&#1055;&#1056;&#1040;&#1049;&#1057;%20&#1055;&#1052;&#105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19 на 15.04.2020"/>
      <sheetName val="для СМО на 15.04.20"/>
      <sheetName val="весь прайс касса на 15.05.2020"/>
      <sheetName val="ПРАЙС касса 10.11.2020 +3,64%"/>
      <sheetName val="сравнительная 12.04.2021"/>
      <sheetName val="виды зубопр 12.04.2021"/>
      <sheetName val="импланты12.04.2021"/>
      <sheetName val="измПРАЙС 25.11.2021"/>
      <sheetName val="перечень21.04.2021"/>
      <sheetName val="перечень 25.11.2021"/>
      <sheetName val="ПРАЙС 21.03.2022"/>
      <sheetName val="21.03.2022 материалы"/>
      <sheetName val="прайс кюретаж 21.03.2022 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>
            <v>2</v>
          </cell>
          <cell r="B8" t="str">
            <v>B01.064.002</v>
          </cell>
          <cell r="C8" t="str">
            <v>Прием (осмотр, консультация) врача-стоматолога повторный</v>
          </cell>
          <cell r="R8">
            <v>410</v>
          </cell>
        </row>
        <row r="18">
          <cell r="B18" t="str">
            <v>А02.07.006</v>
          </cell>
          <cell r="C18" t="str">
            <v>Определение прикуса</v>
          </cell>
          <cell r="R18">
            <v>70</v>
          </cell>
        </row>
        <row r="19">
          <cell r="A19">
            <v>13</v>
          </cell>
          <cell r="B19" t="str">
            <v>А02.07.008</v>
          </cell>
          <cell r="C19" t="str">
            <v>Определение степени патологической подвижности зубов (за 6 зубов)</v>
          </cell>
          <cell r="R19">
            <v>100</v>
          </cell>
        </row>
        <row r="23">
          <cell r="A23">
            <v>17</v>
          </cell>
          <cell r="B23" t="str">
            <v>А02.07.000.000.018</v>
          </cell>
          <cell r="C23" t="str">
            <v>Определение индексов (ПИ, РМА)</v>
          </cell>
          <cell r="R23">
            <v>110</v>
          </cell>
        </row>
        <row r="30">
          <cell r="B30" t="str">
            <v>А06.07.007</v>
          </cell>
          <cell r="R30">
            <v>180</v>
          </cell>
        </row>
        <row r="31">
          <cell r="C31" t="str">
            <v>Радиовизиография челюстно-лицевой области (чтение и описание 1 снимка)</v>
          </cell>
        </row>
        <row r="33">
          <cell r="A33">
            <v>26</v>
          </cell>
          <cell r="B33" t="str">
            <v>А11.07.000.000.015</v>
          </cell>
          <cell r="C33" t="str">
            <v>Инфильтрационная анестезия (челюстно-лицевая область)</v>
          </cell>
          <cell r="R33">
            <v>180</v>
          </cell>
        </row>
        <row r="39">
          <cell r="B39" t="str">
            <v>А12.07.003</v>
          </cell>
          <cell r="C39" t="str">
            <v>Определение индексов гигиены полости рта</v>
          </cell>
          <cell r="R39">
            <v>220</v>
          </cell>
        </row>
        <row r="51">
          <cell r="B51" t="str">
            <v>А16.07.000.000.080</v>
          </cell>
          <cell r="C51" t="str">
            <v xml:space="preserve">Аппликация лекарственного препарата на слизистую оболочку полости рта </v>
          </cell>
          <cell r="R51">
            <v>70</v>
          </cell>
        </row>
        <row r="64">
          <cell r="B64" t="str">
            <v>А16.07.039</v>
          </cell>
          <cell r="C64" t="str">
            <v xml:space="preserve">Закрытый кюретаж при заболеваниях пародонта </v>
          </cell>
          <cell r="R64">
            <v>370</v>
          </cell>
        </row>
        <row r="65">
          <cell r="B65" t="str">
            <v>А16.07.025</v>
          </cell>
          <cell r="C65" t="str">
            <v>Избирательное пришлифовывание твердых тканей зубов (1 зуб)</v>
          </cell>
          <cell r="R65">
            <v>370</v>
          </cell>
        </row>
        <row r="68">
          <cell r="B68" t="str">
            <v>А16.07.020.000.111</v>
          </cell>
          <cell r="C68" t="str">
            <v>Лечебная повязка на слизистую оболочку полости рта (взрослый и детский прием, 1 сеанс)</v>
          </cell>
          <cell r="R68">
            <v>180</v>
          </cell>
        </row>
        <row r="76">
          <cell r="B76" t="str">
            <v>А16.07. 020.000.123</v>
          </cell>
          <cell r="C76" t="str">
            <v>Медикаментозное лечение пародонтальных карманов: орошение (группа зубов)</v>
          </cell>
          <cell r="R76">
            <v>150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dravmedinform.ru/nomenclatura-meditcinskikh-uslug/a16.07.002.01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dravmedinform.ru/nomenclatura-meditcinskikh-uslug/a16.07.002.011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7"/>
  <sheetViews>
    <sheetView tabSelected="1" view="pageBreakPreview" zoomScale="110" zoomScaleSheetLayoutView="110" workbookViewId="0">
      <selection activeCell="F28" sqref="F28"/>
    </sheetView>
  </sheetViews>
  <sheetFormatPr defaultColWidth="8.88671875" defaultRowHeight="16.95" customHeight="1"/>
  <cols>
    <col min="1" max="1" width="16.33203125" style="9" customWidth="1"/>
    <col min="2" max="2" width="15.44140625" style="54" customWidth="1"/>
    <col min="3" max="3" width="84.109375" style="12" customWidth="1"/>
    <col min="4" max="4" width="14" style="13" customWidth="1"/>
    <col min="5" max="5" width="9.21875" style="12" bestFit="1" customWidth="1"/>
    <col min="6" max="16384" width="8.88671875" style="12"/>
  </cols>
  <sheetData>
    <row r="1" spans="2:14" ht="43.95" customHeight="1">
      <c r="B1" s="10"/>
      <c r="C1" s="64" t="s">
        <v>1260</v>
      </c>
    </row>
    <row r="2" spans="2:14" ht="12" customHeight="1">
      <c r="B2" s="10"/>
      <c r="C2" s="66" t="s">
        <v>1082</v>
      </c>
    </row>
    <row r="3" spans="2:14" ht="12" customHeight="1">
      <c r="B3" s="10"/>
      <c r="C3" s="66" t="s">
        <v>1155</v>
      </c>
    </row>
    <row r="4" spans="2:14" ht="12" customHeight="1">
      <c r="B4" s="10"/>
      <c r="C4" s="66" t="s">
        <v>1156</v>
      </c>
    </row>
    <row r="5" spans="2:14" ht="12" customHeight="1">
      <c r="B5" s="10"/>
      <c r="C5" s="66" t="s">
        <v>1158</v>
      </c>
    </row>
    <row r="6" spans="2:14" ht="12" customHeight="1">
      <c r="B6" s="10"/>
      <c r="C6" s="66" t="s">
        <v>1159</v>
      </c>
    </row>
    <row r="7" spans="2:14" ht="12" customHeight="1">
      <c r="B7" s="10"/>
      <c r="C7" s="66" t="s">
        <v>1160</v>
      </c>
    </row>
    <row r="8" spans="2:14" ht="12" customHeight="1">
      <c r="B8" s="10"/>
      <c r="C8" s="66" t="s">
        <v>1167</v>
      </c>
    </row>
    <row r="9" spans="2:14" ht="12" customHeight="1">
      <c r="B9" s="10"/>
      <c r="C9" s="66" t="s">
        <v>1257</v>
      </c>
    </row>
    <row r="10" spans="2:14" ht="12" customHeight="1">
      <c r="B10" s="10"/>
      <c r="C10" s="66" t="s">
        <v>1258</v>
      </c>
    </row>
    <row r="11" spans="2:14" ht="12" customHeight="1">
      <c r="B11" s="10"/>
      <c r="C11" s="66" t="s">
        <v>1272</v>
      </c>
      <c r="D11" s="65"/>
      <c r="E11" s="11"/>
      <c r="N11" s="13"/>
    </row>
    <row r="12" spans="2:14" ht="12" customHeight="1">
      <c r="B12" s="10"/>
      <c r="C12" s="66" t="s">
        <v>1386</v>
      </c>
      <c r="D12" s="65"/>
      <c r="E12" s="11"/>
      <c r="N12" s="13"/>
    </row>
    <row r="13" spans="2:14" ht="12" customHeight="1">
      <c r="B13" s="10"/>
      <c r="C13" s="66" t="s">
        <v>1387</v>
      </c>
      <c r="D13" s="65"/>
      <c r="E13" s="11"/>
      <c r="N13" s="13"/>
    </row>
    <row r="14" spans="2:14" ht="12" customHeight="1">
      <c r="B14" s="10"/>
      <c r="C14" s="66" t="s">
        <v>1388</v>
      </c>
      <c r="D14" s="65"/>
      <c r="E14" s="11"/>
      <c r="N14" s="13"/>
    </row>
    <row r="15" spans="2:14" ht="12" customHeight="1">
      <c r="B15" s="10"/>
      <c r="C15" s="66" t="s">
        <v>1401</v>
      </c>
      <c r="D15" s="65"/>
      <c r="E15" s="11"/>
      <c r="N15" s="13"/>
    </row>
    <row r="16" spans="2:14" ht="12" customHeight="1">
      <c r="B16" s="10"/>
      <c r="C16" s="66" t="s">
        <v>1407</v>
      </c>
      <c r="D16" s="65"/>
      <c r="E16" s="11"/>
      <c r="N16" s="13"/>
    </row>
    <row r="17" spans="1:14" ht="12" customHeight="1">
      <c r="B17" s="10"/>
      <c r="C17" s="66" t="s">
        <v>1411</v>
      </c>
      <c r="D17" s="65"/>
      <c r="E17" s="11"/>
      <c r="N17" s="13"/>
    </row>
    <row r="18" spans="1:14" ht="12" customHeight="1">
      <c r="B18" s="10"/>
      <c r="C18" s="66" t="s">
        <v>1414</v>
      </c>
      <c r="D18" s="65"/>
      <c r="E18" s="11"/>
      <c r="N18" s="13"/>
    </row>
    <row r="19" spans="1:14" ht="12" customHeight="1">
      <c r="B19" s="10"/>
      <c r="C19" s="66" t="s">
        <v>1415</v>
      </c>
      <c r="D19" s="65"/>
      <c r="E19" s="11"/>
      <c r="N19" s="13"/>
    </row>
    <row r="20" spans="1:14" ht="12" customHeight="1">
      <c r="B20" s="10"/>
      <c r="C20" s="66" t="s">
        <v>1436</v>
      </c>
      <c r="D20" s="65"/>
      <c r="E20" s="11"/>
      <c r="N20" s="13"/>
    </row>
    <row r="21" spans="1:14" ht="12" customHeight="1">
      <c r="B21" s="10"/>
      <c r="C21" s="66" t="s">
        <v>1443</v>
      </c>
      <c r="D21" s="65"/>
      <c r="E21" s="11"/>
      <c r="N21" s="13"/>
    </row>
    <row r="22" spans="1:14" ht="88.2" customHeight="1">
      <c r="B22" s="367" t="s">
        <v>1055</v>
      </c>
      <c r="C22" s="367"/>
    </row>
    <row r="23" spans="1:14" ht="15" customHeight="1">
      <c r="B23" s="368" t="s">
        <v>1448</v>
      </c>
      <c r="C23" s="368" t="s">
        <v>1154</v>
      </c>
      <c r="D23" s="59"/>
    </row>
    <row r="24" spans="1:14" s="24" customFormat="1" ht="10.95" customHeight="1">
      <c r="A24" s="5">
        <v>1</v>
      </c>
      <c r="B24" s="5">
        <v>2</v>
      </c>
      <c r="C24" s="14">
        <v>3</v>
      </c>
      <c r="D24" s="58"/>
    </row>
    <row r="25" spans="1:14" ht="16.95" customHeight="1">
      <c r="A25" s="25"/>
      <c r="B25" s="26"/>
      <c r="C25" s="27" t="s">
        <v>3</v>
      </c>
      <c r="D25" s="35" t="s">
        <v>1449</v>
      </c>
    </row>
    <row r="26" spans="1:14" ht="16.95" customHeight="1">
      <c r="A26" s="25">
        <v>1</v>
      </c>
      <c r="B26" s="37" t="s">
        <v>4</v>
      </c>
      <c r="C26" s="38" t="s">
        <v>5</v>
      </c>
      <c r="D26" s="35">
        <v>560</v>
      </c>
    </row>
    <row r="27" spans="1:14" ht="16.95" customHeight="1">
      <c r="A27" s="25">
        <v>2</v>
      </c>
      <c r="B27" s="37" t="s">
        <v>6</v>
      </c>
      <c r="C27" s="38" t="s">
        <v>7</v>
      </c>
      <c r="D27" s="35">
        <v>410</v>
      </c>
    </row>
    <row r="28" spans="1:14" ht="16.95" customHeight="1">
      <c r="A28" s="25">
        <v>3</v>
      </c>
      <c r="B28" s="37" t="s">
        <v>8</v>
      </c>
      <c r="C28" s="38" t="s">
        <v>9</v>
      </c>
      <c r="D28" s="35">
        <v>560</v>
      </c>
    </row>
    <row r="29" spans="1:14" ht="16.95" customHeight="1">
      <c r="A29" s="25">
        <v>4</v>
      </c>
      <c r="B29" s="37" t="s">
        <v>10</v>
      </c>
      <c r="C29" s="38" t="s">
        <v>11</v>
      </c>
      <c r="D29" s="35">
        <v>410</v>
      </c>
    </row>
    <row r="30" spans="1:14" ht="16.95" customHeight="1">
      <c r="A30" s="25">
        <v>5</v>
      </c>
      <c r="B30" s="37" t="s">
        <v>12</v>
      </c>
      <c r="C30" s="38" t="s">
        <v>13</v>
      </c>
      <c r="D30" s="35">
        <v>560</v>
      </c>
    </row>
    <row r="31" spans="1:14" ht="16.95" customHeight="1">
      <c r="A31" s="25">
        <v>6</v>
      </c>
      <c r="B31" s="37" t="s">
        <v>14</v>
      </c>
      <c r="C31" s="38" t="s">
        <v>15</v>
      </c>
      <c r="D31" s="35">
        <v>410</v>
      </c>
    </row>
    <row r="32" spans="1:14" ht="16.95" customHeight="1">
      <c r="A32" s="25">
        <v>7</v>
      </c>
      <c r="B32" s="37" t="s">
        <v>16</v>
      </c>
      <c r="C32" s="38" t="s">
        <v>17</v>
      </c>
      <c r="D32" s="35">
        <v>560</v>
      </c>
    </row>
    <row r="33" spans="1:4" ht="16.95" customHeight="1">
      <c r="A33" s="25">
        <v>8</v>
      </c>
      <c r="B33" s="37" t="s">
        <v>18</v>
      </c>
      <c r="C33" s="38" t="s">
        <v>19</v>
      </c>
      <c r="D33" s="35">
        <v>410</v>
      </c>
    </row>
    <row r="34" spans="1:4" ht="16.95" customHeight="1">
      <c r="A34" s="25">
        <v>9</v>
      </c>
      <c r="B34" s="37" t="s">
        <v>20</v>
      </c>
      <c r="C34" s="38" t="s">
        <v>630</v>
      </c>
      <c r="D34" s="35">
        <v>1200</v>
      </c>
    </row>
    <row r="35" spans="1:4" ht="16.95" customHeight="1">
      <c r="A35" s="25">
        <v>10</v>
      </c>
      <c r="B35" s="37" t="s">
        <v>21</v>
      </c>
      <c r="C35" s="38" t="s">
        <v>22</v>
      </c>
      <c r="D35" s="35">
        <v>70</v>
      </c>
    </row>
    <row r="36" spans="1:4" ht="16.95" customHeight="1">
      <c r="A36" s="25">
        <v>11</v>
      </c>
      <c r="B36" s="37" t="s">
        <v>23</v>
      </c>
      <c r="C36" s="38" t="s">
        <v>24</v>
      </c>
      <c r="D36" s="35">
        <v>100</v>
      </c>
    </row>
    <row r="37" spans="1:4" ht="16.95" customHeight="1">
      <c r="A37" s="25">
        <v>12</v>
      </c>
      <c r="B37" s="37" t="s">
        <v>25</v>
      </c>
      <c r="C37" s="38" t="s">
        <v>26</v>
      </c>
      <c r="D37" s="35">
        <v>70</v>
      </c>
    </row>
    <row r="38" spans="1:4" ht="16.95" customHeight="1">
      <c r="A38" s="25">
        <v>13</v>
      </c>
      <c r="B38" s="37" t="s">
        <v>27</v>
      </c>
      <c r="C38" s="38" t="s">
        <v>28</v>
      </c>
      <c r="D38" s="35">
        <v>100</v>
      </c>
    </row>
    <row r="39" spans="1:4" ht="16.95" customHeight="1">
      <c r="A39" s="25">
        <v>14</v>
      </c>
      <c r="B39" s="37" t="s">
        <v>29</v>
      </c>
      <c r="C39" s="38" t="s">
        <v>30</v>
      </c>
      <c r="D39" s="35">
        <v>370</v>
      </c>
    </row>
    <row r="40" spans="1:4" ht="16.95" customHeight="1">
      <c r="A40" s="25">
        <v>15</v>
      </c>
      <c r="B40" s="37" t="s">
        <v>31</v>
      </c>
      <c r="C40" s="38" t="s">
        <v>32</v>
      </c>
      <c r="D40" s="35">
        <v>1110</v>
      </c>
    </row>
    <row r="41" spans="1:4" ht="16.95" customHeight="1">
      <c r="A41" s="25">
        <v>16</v>
      </c>
      <c r="B41" s="37" t="s">
        <v>33</v>
      </c>
      <c r="C41" s="38" t="s">
        <v>34</v>
      </c>
      <c r="D41" s="35">
        <v>370</v>
      </c>
    </row>
    <row r="42" spans="1:4" ht="16.95" customHeight="1">
      <c r="A42" s="25">
        <v>17</v>
      </c>
      <c r="B42" s="37" t="s">
        <v>35</v>
      </c>
      <c r="C42" s="38" t="s">
        <v>36</v>
      </c>
      <c r="D42" s="35">
        <v>110</v>
      </c>
    </row>
    <row r="43" spans="1:4" ht="16.95" customHeight="1">
      <c r="A43" s="25">
        <v>18</v>
      </c>
      <c r="B43" s="37" t="s">
        <v>37</v>
      </c>
      <c r="C43" s="38" t="s">
        <v>38</v>
      </c>
      <c r="D43" s="35">
        <v>180</v>
      </c>
    </row>
    <row r="44" spans="1:4" ht="16.95" customHeight="1">
      <c r="A44" s="25">
        <v>19</v>
      </c>
      <c r="B44" s="37" t="s">
        <v>39</v>
      </c>
      <c r="C44" s="38" t="s">
        <v>40</v>
      </c>
      <c r="D44" s="35">
        <v>180</v>
      </c>
    </row>
    <row r="45" spans="1:4" ht="16.95" customHeight="1">
      <c r="A45" s="25">
        <v>20</v>
      </c>
      <c r="B45" s="37" t="s">
        <v>41</v>
      </c>
      <c r="C45" s="38" t="s">
        <v>42</v>
      </c>
      <c r="D45" s="35">
        <v>180</v>
      </c>
    </row>
    <row r="46" spans="1:4" ht="16.95" customHeight="1">
      <c r="A46" s="25">
        <v>21</v>
      </c>
      <c r="B46" s="37" t="s">
        <v>43</v>
      </c>
      <c r="C46" s="38" t="s">
        <v>44</v>
      </c>
      <c r="D46" s="35">
        <v>110</v>
      </c>
    </row>
    <row r="47" spans="1:4" ht="16.95" customHeight="1">
      <c r="A47" s="25">
        <v>22</v>
      </c>
      <c r="B47" s="37" t="s">
        <v>45</v>
      </c>
      <c r="C47" s="38" t="s">
        <v>620</v>
      </c>
      <c r="D47" s="35">
        <v>180</v>
      </c>
    </row>
    <row r="48" spans="1:4" ht="16.95" customHeight="1">
      <c r="A48" s="25" t="s">
        <v>623</v>
      </c>
      <c r="B48" s="37" t="s">
        <v>624</v>
      </c>
      <c r="C48" s="38" t="s">
        <v>625</v>
      </c>
      <c r="D48" s="35">
        <v>350</v>
      </c>
    </row>
    <row r="49" spans="1:4" ht="16.95" customHeight="1">
      <c r="A49" s="25">
        <v>23</v>
      </c>
      <c r="B49" s="37" t="s">
        <v>46</v>
      </c>
      <c r="C49" s="38" t="s">
        <v>621</v>
      </c>
      <c r="D49" s="35">
        <v>180</v>
      </c>
    </row>
    <row r="50" spans="1:4" ht="16.95" customHeight="1">
      <c r="A50" s="25">
        <v>24</v>
      </c>
      <c r="B50" s="37" t="s">
        <v>47</v>
      </c>
      <c r="C50" s="38" t="s">
        <v>622</v>
      </c>
      <c r="D50" s="35">
        <v>180</v>
      </c>
    </row>
    <row r="51" spans="1:4" ht="16.95" customHeight="1">
      <c r="A51" s="25">
        <v>25</v>
      </c>
      <c r="B51" s="37" t="s">
        <v>48</v>
      </c>
      <c r="C51" s="38" t="s">
        <v>49</v>
      </c>
      <c r="D51" s="35">
        <v>180</v>
      </c>
    </row>
    <row r="52" spans="1:4" ht="16.95" customHeight="1">
      <c r="A52" s="25">
        <v>26</v>
      </c>
      <c r="B52" s="37" t="s">
        <v>50</v>
      </c>
      <c r="C52" s="38" t="s">
        <v>51</v>
      </c>
      <c r="D52" s="35">
        <v>180</v>
      </c>
    </row>
    <row r="53" spans="1:4" ht="16.95" customHeight="1">
      <c r="A53" s="25">
        <v>27</v>
      </c>
      <c r="B53" s="37" t="s">
        <v>52</v>
      </c>
      <c r="C53" s="38" t="s">
        <v>53</v>
      </c>
      <c r="D53" s="35">
        <v>180</v>
      </c>
    </row>
    <row r="54" spans="1:4" ht="16.95" customHeight="1">
      <c r="A54" s="25">
        <v>28</v>
      </c>
      <c r="B54" s="37" t="s">
        <v>54</v>
      </c>
      <c r="C54" s="38" t="s">
        <v>55</v>
      </c>
      <c r="D54" s="35">
        <v>180</v>
      </c>
    </row>
    <row r="55" spans="1:4" ht="16.95" customHeight="1">
      <c r="A55" s="25">
        <v>29</v>
      </c>
      <c r="B55" s="37" t="s">
        <v>56</v>
      </c>
      <c r="C55" s="38" t="s">
        <v>57</v>
      </c>
      <c r="D55" s="35">
        <v>180</v>
      </c>
    </row>
    <row r="56" spans="1:4" ht="16.95" customHeight="1">
      <c r="A56" s="25">
        <v>30</v>
      </c>
      <c r="B56" s="37" t="s">
        <v>58</v>
      </c>
      <c r="C56" s="38" t="s">
        <v>59</v>
      </c>
      <c r="D56" s="35">
        <v>570</v>
      </c>
    </row>
    <row r="57" spans="1:4" ht="31.2" customHeight="1">
      <c r="A57" s="25">
        <v>31</v>
      </c>
      <c r="B57" s="37" t="s">
        <v>60</v>
      </c>
      <c r="C57" s="38" t="s">
        <v>61</v>
      </c>
      <c r="D57" s="35">
        <v>560</v>
      </c>
    </row>
    <row r="58" spans="1:4" ht="16.95" customHeight="1">
      <c r="A58" s="25">
        <v>32</v>
      </c>
      <c r="B58" s="37" t="s">
        <v>62</v>
      </c>
      <c r="C58" s="38" t="s">
        <v>63</v>
      </c>
      <c r="D58" s="35">
        <v>220</v>
      </c>
    </row>
    <row r="59" spans="1:4" ht="16.95" customHeight="1">
      <c r="A59" s="25">
        <v>33</v>
      </c>
      <c r="B59" s="37" t="s">
        <v>64</v>
      </c>
      <c r="C59" s="38" t="s">
        <v>65</v>
      </c>
      <c r="D59" s="35">
        <v>760</v>
      </c>
    </row>
    <row r="60" spans="1:4" ht="16.95" customHeight="1">
      <c r="A60" s="25">
        <v>34</v>
      </c>
      <c r="B60" s="37" t="s">
        <v>66</v>
      </c>
      <c r="C60" s="38" t="s">
        <v>67</v>
      </c>
      <c r="D60" s="35">
        <v>370</v>
      </c>
    </row>
    <row r="61" spans="1:4" ht="16.95" customHeight="1">
      <c r="A61" s="25">
        <v>35</v>
      </c>
      <c r="B61" s="37" t="s">
        <v>68</v>
      </c>
      <c r="C61" s="38" t="s">
        <v>69</v>
      </c>
      <c r="D61" s="35">
        <v>80</v>
      </c>
    </row>
    <row r="62" spans="1:4" ht="16.95" customHeight="1">
      <c r="A62" s="25">
        <v>36</v>
      </c>
      <c r="B62" s="37" t="s">
        <v>70</v>
      </c>
      <c r="C62" s="38" t="s">
        <v>71</v>
      </c>
      <c r="D62" s="35">
        <v>180</v>
      </c>
    </row>
    <row r="63" spans="1:4" ht="16.95" customHeight="1">
      <c r="A63" s="25">
        <v>37</v>
      </c>
      <c r="B63" s="37" t="s">
        <v>72</v>
      </c>
      <c r="C63" s="38" t="s">
        <v>73</v>
      </c>
      <c r="D63" s="35">
        <v>180</v>
      </c>
    </row>
    <row r="64" spans="1:4" ht="16.95" customHeight="1">
      <c r="A64" s="25">
        <v>38</v>
      </c>
      <c r="B64" s="37" t="s">
        <v>74</v>
      </c>
      <c r="C64" s="38" t="s">
        <v>75</v>
      </c>
      <c r="D64" s="35">
        <v>370</v>
      </c>
    </row>
    <row r="65" spans="1:4" ht="16.95" customHeight="1">
      <c r="A65" s="25">
        <v>39</v>
      </c>
      <c r="B65" s="37" t="s">
        <v>76</v>
      </c>
      <c r="C65" s="38" t="s">
        <v>77</v>
      </c>
      <c r="D65" s="35">
        <v>370</v>
      </c>
    </row>
    <row r="66" spans="1:4" ht="16.95" customHeight="1">
      <c r="A66" s="25">
        <v>40</v>
      </c>
      <c r="B66" s="37" t="s">
        <v>78</v>
      </c>
      <c r="C66" s="38" t="s">
        <v>79</v>
      </c>
      <c r="D66" s="35">
        <v>70</v>
      </c>
    </row>
    <row r="67" spans="1:4" ht="16.95" customHeight="1">
      <c r="A67" s="25">
        <v>41</v>
      </c>
      <c r="B67" s="37" t="s">
        <v>80</v>
      </c>
      <c r="C67" s="38" t="s">
        <v>81</v>
      </c>
      <c r="D67" s="35">
        <v>70</v>
      </c>
    </row>
    <row r="68" spans="1:4" ht="16.95" customHeight="1">
      <c r="A68" s="25">
        <v>42</v>
      </c>
      <c r="B68" s="37" t="s">
        <v>82</v>
      </c>
      <c r="C68" s="38" t="s">
        <v>83</v>
      </c>
      <c r="D68" s="35">
        <v>70</v>
      </c>
    </row>
    <row r="69" spans="1:4" ht="16.95" customHeight="1">
      <c r="A69" s="25"/>
      <c r="B69" s="26"/>
      <c r="C69" s="62" t="s">
        <v>642</v>
      </c>
      <c r="D69" s="35">
        <v>0</v>
      </c>
    </row>
    <row r="70" spans="1:4" ht="16.95" customHeight="1">
      <c r="A70" s="25">
        <v>43</v>
      </c>
      <c r="B70" s="37" t="s">
        <v>84</v>
      </c>
      <c r="C70" s="38" t="s">
        <v>85</v>
      </c>
      <c r="D70" s="35">
        <v>70</v>
      </c>
    </row>
    <row r="71" spans="1:4" ht="16.95" customHeight="1">
      <c r="A71" s="25">
        <v>44</v>
      </c>
      <c r="B71" s="37" t="s">
        <v>86</v>
      </c>
      <c r="C71" s="38" t="s">
        <v>87</v>
      </c>
      <c r="D71" s="35">
        <v>110</v>
      </c>
    </row>
    <row r="72" spans="1:4" ht="31.2" customHeight="1">
      <c r="A72" s="25">
        <v>45</v>
      </c>
      <c r="B72" s="37" t="s">
        <v>88</v>
      </c>
      <c r="C72" s="38" t="s">
        <v>605</v>
      </c>
      <c r="D72" s="35">
        <v>6060</v>
      </c>
    </row>
    <row r="73" spans="1:4" ht="31.2" customHeight="1">
      <c r="A73" s="25">
        <v>46</v>
      </c>
      <c r="B73" s="37" t="s">
        <v>89</v>
      </c>
      <c r="C73" s="38" t="s">
        <v>606</v>
      </c>
      <c r="D73" s="35">
        <v>5250</v>
      </c>
    </row>
    <row r="74" spans="1:4" ht="31.2" customHeight="1">
      <c r="A74" s="25">
        <v>47</v>
      </c>
      <c r="B74" s="37" t="s">
        <v>90</v>
      </c>
      <c r="C74" s="38" t="s">
        <v>607</v>
      </c>
      <c r="D74" s="35">
        <v>4490</v>
      </c>
    </row>
    <row r="75" spans="1:4" ht="31.2" customHeight="1">
      <c r="A75" s="25">
        <v>48</v>
      </c>
      <c r="B75" s="37" t="s">
        <v>91</v>
      </c>
      <c r="C75" s="38" t="s">
        <v>608</v>
      </c>
      <c r="D75" s="35">
        <v>6060</v>
      </c>
    </row>
    <row r="76" spans="1:4" ht="31.2" customHeight="1">
      <c r="A76" s="25">
        <v>49</v>
      </c>
      <c r="B76" s="37" t="s">
        <v>92</v>
      </c>
      <c r="C76" s="38" t="s">
        <v>609</v>
      </c>
      <c r="D76" s="35">
        <v>5250</v>
      </c>
    </row>
    <row r="77" spans="1:4" ht="31.2" customHeight="1">
      <c r="A77" s="25">
        <v>50</v>
      </c>
      <c r="B77" s="37" t="s">
        <v>93</v>
      </c>
      <c r="C77" s="38" t="s">
        <v>610</v>
      </c>
      <c r="D77" s="35">
        <v>4490</v>
      </c>
    </row>
    <row r="78" spans="1:4" ht="31.2" customHeight="1">
      <c r="A78" s="25">
        <v>51</v>
      </c>
      <c r="B78" s="37" t="s">
        <v>94</v>
      </c>
      <c r="C78" s="38" t="s">
        <v>95</v>
      </c>
      <c r="D78" s="35">
        <v>2620</v>
      </c>
    </row>
    <row r="79" spans="1:4" ht="31.2" customHeight="1">
      <c r="A79" s="25">
        <v>52</v>
      </c>
      <c r="B79" s="37" t="s">
        <v>96</v>
      </c>
      <c r="C79" s="38" t="s">
        <v>97</v>
      </c>
      <c r="D79" s="35">
        <v>3740</v>
      </c>
    </row>
    <row r="80" spans="1:4" ht="31.2" customHeight="1">
      <c r="A80" s="25">
        <v>53</v>
      </c>
      <c r="B80" s="37" t="s">
        <v>98</v>
      </c>
      <c r="C80" s="38" t="s">
        <v>596</v>
      </c>
      <c r="D80" s="35">
        <v>2060</v>
      </c>
    </row>
    <row r="81" spans="1:4" ht="16.95" customHeight="1">
      <c r="A81" s="25">
        <v>54</v>
      </c>
      <c r="B81" s="37" t="s">
        <v>99</v>
      </c>
      <c r="C81" s="38" t="s">
        <v>100</v>
      </c>
      <c r="D81" s="35">
        <v>1220</v>
      </c>
    </row>
    <row r="82" spans="1:4" ht="16.95" customHeight="1">
      <c r="A82" s="25">
        <v>55</v>
      </c>
      <c r="B82" s="37" t="s">
        <v>101</v>
      </c>
      <c r="C82" s="38" t="s">
        <v>102</v>
      </c>
      <c r="D82" s="35">
        <v>370</v>
      </c>
    </row>
    <row r="83" spans="1:4" ht="16.95" customHeight="1">
      <c r="A83" s="25">
        <v>56</v>
      </c>
      <c r="B83" s="37" t="s">
        <v>103</v>
      </c>
      <c r="C83" s="38" t="s">
        <v>104</v>
      </c>
      <c r="D83" s="35">
        <v>370</v>
      </c>
    </row>
    <row r="84" spans="1:4" ht="16.95" customHeight="1">
      <c r="A84" s="25">
        <v>57</v>
      </c>
      <c r="B84" s="37" t="s">
        <v>105</v>
      </c>
      <c r="C84" s="38" t="s">
        <v>106</v>
      </c>
      <c r="D84" s="35">
        <v>370</v>
      </c>
    </row>
    <row r="85" spans="1:4" ht="16.95" customHeight="1">
      <c r="A85" s="25">
        <v>58</v>
      </c>
      <c r="B85" s="37" t="s">
        <v>107</v>
      </c>
      <c r="C85" s="38" t="s">
        <v>108</v>
      </c>
      <c r="D85" s="35">
        <v>1510</v>
      </c>
    </row>
    <row r="86" spans="1:4" ht="16.95" customHeight="1">
      <c r="A86" s="25">
        <v>59</v>
      </c>
      <c r="B86" s="37" t="s">
        <v>109</v>
      </c>
      <c r="C86" s="38" t="s">
        <v>110</v>
      </c>
      <c r="D86" s="35">
        <v>100</v>
      </c>
    </row>
    <row r="87" spans="1:4" ht="16.95" customHeight="1">
      <c r="A87" s="25">
        <v>60</v>
      </c>
      <c r="B87" s="37" t="s">
        <v>111</v>
      </c>
      <c r="C87" s="38" t="s">
        <v>112</v>
      </c>
      <c r="D87" s="35">
        <v>180</v>
      </c>
    </row>
    <row r="88" spans="1:4" ht="16.95" customHeight="1">
      <c r="A88" s="25">
        <v>61</v>
      </c>
      <c r="B88" s="37" t="s">
        <v>113</v>
      </c>
      <c r="C88" s="38" t="s">
        <v>114</v>
      </c>
      <c r="D88" s="35">
        <v>760</v>
      </c>
    </row>
    <row r="89" spans="1:4" ht="16.95" customHeight="1">
      <c r="A89" s="25">
        <v>62</v>
      </c>
      <c r="B89" s="37" t="s">
        <v>115</v>
      </c>
      <c r="C89" s="38" t="s">
        <v>116</v>
      </c>
      <c r="D89" s="35">
        <v>760</v>
      </c>
    </row>
    <row r="90" spans="1:4" ht="16.95" customHeight="1">
      <c r="A90" s="25">
        <v>63</v>
      </c>
      <c r="B90" s="37" t="s">
        <v>117</v>
      </c>
      <c r="C90" s="38" t="s">
        <v>118</v>
      </c>
      <c r="D90" s="35">
        <v>100</v>
      </c>
    </row>
    <row r="91" spans="1:4" ht="16.95" customHeight="1">
      <c r="A91" s="25">
        <v>64</v>
      </c>
      <c r="B91" s="37" t="s">
        <v>119</v>
      </c>
      <c r="C91" s="38" t="s">
        <v>120</v>
      </c>
      <c r="D91" s="35">
        <v>760</v>
      </c>
    </row>
    <row r="92" spans="1:4" ht="16.95" customHeight="1">
      <c r="A92" s="25">
        <v>65</v>
      </c>
      <c r="B92" s="37" t="s">
        <v>121</v>
      </c>
      <c r="C92" s="38" t="s">
        <v>122</v>
      </c>
      <c r="D92" s="35">
        <v>370</v>
      </c>
    </row>
    <row r="93" spans="1:4" ht="16.95" customHeight="1">
      <c r="A93" s="25">
        <v>66</v>
      </c>
      <c r="B93" s="37" t="s">
        <v>123</v>
      </c>
      <c r="C93" s="38" t="s">
        <v>124</v>
      </c>
      <c r="D93" s="35">
        <v>150</v>
      </c>
    </row>
    <row r="94" spans="1:4" ht="16.95" customHeight="1">
      <c r="A94" s="25">
        <v>67</v>
      </c>
      <c r="B94" s="37" t="s">
        <v>125</v>
      </c>
      <c r="C94" s="38" t="s">
        <v>126</v>
      </c>
      <c r="D94" s="35">
        <v>150</v>
      </c>
    </row>
    <row r="95" spans="1:4" ht="16.95" customHeight="1">
      <c r="A95" s="25">
        <v>68</v>
      </c>
      <c r="B95" s="37" t="s">
        <v>127</v>
      </c>
      <c r="C95" s="38" t="s">
        <v>128</v>
      </c>
      <c r="D95" s="35">
        <v>150</v>
      </c>
    </row>
    <row r="96" spans="1:4" ht="16.95" customHeight="1">
      <c r="A96" s="25">
        <v>69</v>
      </c>
      <c r="B96" s="37" t="s">
        <v>129</v>
      </c>
      <c r="C96" s="38" t="s">
        <v>130</v>
      </c>
      <c r="D96" s="35">
        <v>150</v>
      </c>
    </row>
    <row r="97" spans="1:4" ht="16.95" customHeight="1">
      <c r="A97" s="25">
        <v>70</v>
      </c>
      <c r="B97" s="37" t="s">
        <v>131</v>
      </c>
      <c r="C97" s="38" t="s">
        <v>132</v>
      </c>
      <c r="D97" s="35">
        <v>100</v>
      </c>
    </row>
    <row r="98" spans="1:4" ht="16.95" customHeight="1">
      <c r="A98" s="25">
        <v>71</v>
      </c>
      <c r="B98" s="37" t="s">
        <v>133</v>
      </c>
      <c r="C98" s="38" t="s">
        <v>134</v>
      </c>
      <c r="D98" s="35">
        <v>180</v>
      </c>
    </row>
    <row r="99" spans="1:4" ht="16.95" customHeight="1">
      <c r="A99" s="25">
        <v>72</v>
      </c>
      <c r="B99" s="37" t="s">
        <v>135</v>
      </c>
      <c r="C99" s="38" t="s">
        <v>136</v>
      </c>
      <c r="D99" s="35">
        <v>180</v>
      </c>
    </row>
    <row r="100" spans="1:4" ht="16.95" customHeight="1">
      <c r="A100" s="25">
        <v>73</v>
      </c>
      <c r="B100" s="37" t="s">
        <v>137</v>
      </c>
      <c r="C100" s="38" t="s">
        <v>138</v>
      </c>
      <c r="D100" s="35">
        <v>300</v>
      </c>
    </row>
    <row r="101" spans="1:4" ht="16.95" customHeight="1">
      <c r="A101" s="25">
        <v>74</v>
      </c>
      <c r="B101" s="37" t="s">
        <v>139</v>
      </c>
      <c r="C101" s="38" t="s">
        <v>140</v>
      </c>
      <c r="D101" s="35">
        <v>70</v>
      </c>
    </row>
    <row r="102" spans="1:4" ht="16.95" customHeight="1">
      <c r="A102" s="25">
        <v>75</v>
      </c>
      <c r="B102" s="37" t="s">
        <v>141</v>
      </c>
      <c r="C102" s="38" t="s">
        <v>142</v>
      </c>
      <c r="D102" s="35">
        <v>370</v>
      </c>
    </row>
    <row r="103" spans="1:4" ht="31.2" customHeight="1">
      <c r="A103" s="25">
        <v>76</v>
      </c>
      <c r="B103" s="37" t="s">
        <v>143</v>
      </c>
      <c r="C103" s="38" t="s">
        <v>611</v>
      </c>
      <c r="D103" s="35">
        <v>1110</v>
      </c>
    </row>
    <row r="104" spans="1:4" ht="31.2" customHeight="1">
      <c r="A104" s="25">
        <v>77</v>
      </c>
      <c r="B104" s="37" t="s">
        <v>144</v>
      </c>
      <c r="C104" s="38" t="s">
        <v>612</v>
      </c>
      <c r="D104" s="35">
        <v>1510</v>
      </c>
    </row>
    <row r="105" spans="1:4" ht="31.2" customHeight="1">
      <c r="A105" s="25">
        <v>78</v>
      </c>
      <c r="B105" s="37" t="s">
        <v>145</v>
      </c>
      <c r="C105" s="38" t="s">
        <v>613</v>
      </c>
      <c r="D105" s="35">
        <v>1510</v>
      </c>
    </row>
    <row r="106" spans="1:4" ht="31.2" customHeight="1">
      <c r="A106" s="25">
        <v>79</v>
      </c>
      <c r="B106" s="37" t="s">
        <v>146</v>
      </c>
      <c r="C106" s="38" t="s">
        <v>614</v>
      </c>
      <c r="D106" s="35">
        <v>1870</v>
      </c>
    </row>
    <row r="107" spans="1:4" ht="31.2" customHeight="1">
      <c r="A107" s="25">
        <v>80</v>
      </c>
      <c r="B107" s="37" t="s">
        <v>147</v>
      </c>
      <c r="C107" s="38" t="s">
        <v>615</v>
      </c>
      <c r="D107" s="35">
        <v>2060</v>
      </c>
    </row>
    <row r="108" spans="1:4" ht="31.2" customHeight="1">
      <c r="A108" s="25">
        <v>81</v>
      </c>
      <c r="B108" s="37" t="s">
        <v>148</v>
      </c>
      <c r="C108" s="38" t="s">
        <v>616</v>
      </c>
      <c r="D108" s="35">
        <v>2440</v>
      </c>
    </row>
    <row r="109" spans="1:4" ht="31.2" customHeight="1">
      <c r="A109" s="25">
        <v>82</v>
      </c>
      <c r="B109" s="37" t="s">
        <v>149</v>
      </c>
      <c r="C109" s="38" t="s">
        <v>617</v>
      </c>
      <c r="D109" s="35">
        <v>760</v>
      </c>
    </row>
    <row r="110" spans="1:4" ht="31.2" customHeight="1">
      <c r="A110" s="25">
        <v>83</v>
      </c>
      <c r="B110" s="37" t="s">
        <v>150</v>
      </c>
      <c r="C110" s="38" t="s">
        <v>151</v>
      </c>
      <c r="D110" s="35">
        <v>940</v>
      </c>
    </row>
    <row r="111" spans="1:4" ht="31.2" customHeight="1">
      <c r="A111" s="25">
        <v>84</v>
      </c>
      <c r="B111" s="37" t="s">
        <v>152</v>
      </c>
      <c r="C111" s="38" t="s">
        <v>153</v>
      </c>
      <c r="D111" s="35">
        <v>1320</v>
      </c>
    </row>
    <row r="112" spans="1:4" ht="31.2" customHeight="1">
      <c r="A112" s="25">
        <v>85</v>
      </c>
      <c r="B112" s="37" t="s">
        <v>154</v>
      </c>
      <c r="C112" s="38" t="s">
        <v>155</v>
      </c>
      <c r="D112" s="35">
        <v>370</v>
      </c>
    </row>
    <row r="113" spans="1:4" ht="31.2" customHeight="1">
      <c r="A113" s="25">
        <v>86</v>
      </c>
      <c r="B113" s="37" t="s">
        <v>156</v>
      </c>
      <c r="C113" s="38" t="s">
        <v>157</v>
      </c>
      <c r="D113" s="35">
        <v>620</v>
      </c>
    </row>
    <row r="114" spans="1:4" ht="16.95" customHeight="1">
      <c r="A114" s="25">
        <v>87</v>
      </c>
      <c r="B114" s="37" t="s">
        <v>158</v>
      </c>
      <c r="C114" s="38" t="s">
        <v>159</v>
      </c>
      <c r="D114" s="35">
        <v>770</v>
      </c>
    </row>
    <row r="115" spans="1:4" ht="16.95" customHeight="1">
      <c r="A115" s="25">
        <v>88</v>
      </c>
      <c r="B115" s="37" t="s">
        <v>160</v>
      </c>
      <c r="C115" s="38" t="s">
        <v>161</v>
      </c>
      <c r="D115" s="35">
        <v>450</v>
      </c>
    </row>
    <row r="116" spans="1:4" ht="16.95" customHeight="1">
      <c r="A116" s="25">
        <v>89</v>
      </c>
      <c r="B116" s="37" t="s">
        <v>162</v>
      </c>
      <c r="C116" s="38" t="s">
        <v>163</v>
      </c>
      <c r="D116" s="35">
        <v>2260</v>
      </c>
    </row>
    <row r="117" spans="1:4" ht="16.95" customHeight="1">
      <c r="A117" s="25">
        <v>90</v>
      </c>
      <c r="B117" s="37" t="s">
        <v>164</v>
      </c>
      <c r="C117" s="38" t="s">
        <v>165</v>
      </c>
      <c r="D117" s="35">
        <v>2260</v>
      </c>
    </row>
    <row r="118" spans="1:4" ht="16.95" customHeight="1">
      <c r="A118" s="25">
        <v>91</v>
      </c>
      <c r="B118" s="37" t="s">
        <v>166</v>
      </c>
      <c r="C118" s="38" t="s">
        <v>167</v>
      </c>
      <c r="D118" s="35">
        <v>760</v>
      </c>
    </row>
    <row r="119" spans="1:4" ht="16.95" customHeight="1">
      <c r="A119" s="25">
        <v>92</v>
      </c>
      <c r="B119" s="37" t="s">
        <v>168</v>
      </c>
      <c r="C119" s="38" t="s">
        <v>169</v>
      </c>
      <c r="D119" s="35">
        <v>180</v>
      </c>
    </row>
    <row r="120" spans="1:4" ht="31.2" customHeight="1">
      <c r="A120" s="25">
        <v>93</v>
      </c>
      <c r="B120" s="37" t="s">
        <v>170</v>
      </c>
      <c r="C120" s="38" t="s">
        <v>171</v>
      </c>
      <c r="D120" s="35">
        <v>370</v>
      </c>
    </row>
    <row r="121" spans="1:4" ht="16.95" customHeight="1">
      <c r="A121" s="25">
        <v>94</v>
      </c>
      <c r="B121" s="37" t="s">
        <v>172</v>
      </c>
      <c r="C121" s="38" t="s">
        <v>173</v>
      </c>
      <c r="D121" s="35">
        <v>100</v>
      </c>
    </row>
    <row r="122" spans="1:4" ht="16.95" customHeight="1">
      <c r="A122" s="25">
        <v>95</v>
      </c>
      <c r="B122" s="37" t="s">
        <v>174</v>
      </c>
      <c r="C122" s="38" t="s">
        <v>597</v>
      </c>
      <c r="D122" s="35">
        <v>180</v>
      </c>
    </row>
    <row r="123" spans="1:4" ht="16.95" customHeight="1">
      <c r="A123" s="25">
        <v>96</v>
      </c>
      <c r="B123" s="37" t="s">
        <v>175</v>
      </c>
      <c r="C123" s="38" t="s">
        <v>176</v>
      </c>
      <c r="D123" s="35">
        <v>100</v>
      </c>
    </row>
    <row r="124" spans="1:4" ht="16.95" customHeight="1">
      <c r="A124" s="25">
        <v>97</v>
      </c>
      <c r="B124" s="37" t="s">
        <v>177</v>
      </c>
      <c r="C124" s="38" t="s">
        <v>178</v>
      </c>
      <c r="D124" s="35">
        <v>1870</v>
      </c>
    </row>
    <row r="125" spans="1:4" ht="16.95" customHeight="1">
      <c r="A125" s="25">
        <v>98</v>
      </c>
      <c r="B125" s="37" t="s">
        <v>179</v>
      </c>
      <c r="C125" s="38" t="s">
        <v>180</v>
      </c>
      <c r="D125" s="35">
        <v>2260</v>
      </c>
    </row>
    <row r="126" spans="1:4" ht="31.2" customHeight="1">
      <c r="A126" s="25">
        <v>99</v>
      </c>
      <c r="B126" s="37" t="s">
        <v>181</v>
      </c>
      <c r="C126" s="38" t="s">
        <v>182</v>
      </c>
      <c r="D126" s="35">
        <v>1110</v>
      </c>
    </row>
    <row r="127" spans="1:4" ht="31.2" customHeight="1">
      <c r="A127" s="25">
        <v>100</v>
      </c>
      <c r="B127" s="37" t="s">
        <v>183</v>
      </c>
      <c r="C127" s="38" t="s">
        <v>184</v>
      </c>
      <c r="D127" s="35">
        <v>180</v>
      </c>
    </row>
    <row r="128" spans="1:4" ht="16.95" customHeight="1">
      <c r="A128" s="25">
        <v>101</v>
      </c>
      <c r="B128" s="37" t="s">
        <v>185</v>
      </c>
      <c r="C128" s="38" t="s">
        <v>186</v>
      </c>
      <c r="D128" s="35">
        <v>2620</v>
      </c>
    </row>
    <row r="129" spans="1:4" ht="16.95" customHeight="1">
      <c r="A129" s="25">
        <v>102</v>
      </c>
      <c r="B129" s="37" t="s">
        <v>187</v>
      </c>
      <c r="C129" s="38" t="s">
        <v>188</v>
      </c>
      <c r="D129" s="35">
        <v>2260</v>
      </c>
    </row>
    <row r="130" spans="1:4" ht="16.95" customHeight="1">
      <c r="A130" s="25">
        <v>103</v>
      </c>
      <c r="B130" s="37" t="s">
        <v>189</v>
      </c>
      <c r="C130" s="38" t="s">
        <v>190</v>
      </c>
      <c r="D130" s="35">
        <v>370</v>
      </c>
    </row>
    <row r="131" spans="1:4" ht="16.95" customHeight="1">
      <c r="A131" s="25">
        <v>104</v>
      </c>
      <c r="B131" s="37" t="s">
        <v>191</v>
      </c>
      <c r="C131" s="38" t="s">
        <v>192</v>
      </c>
      <c r="D131" s="35">
        <v>480</v>
      </c>
    </row>
    <row r="132" spans="1:4" ht="16.95" customHeight="1">
      <c r="A132" s="25">
        <v>105</v>
      </c>
      <c r="B132" s="37" t="s">
        <v>193</v>
      </c>
      <c r="C132" s="38" t="s">
        <v>194</v>
      </c>
      <c r="D132" s="35">
        <v>230</v>
      </c>
    </row>
    <row r="133" spans="1:4" ht="16.95" customHeight="1">
      <c r="A133" s="25">
        <v>106</v>
      </c>
      <c r="B133" s="37" t="s">
        <v>195</v>
      </c>
      <c r="C133" s="38" t="s">
        <v>196</v>
      </c>
      <c r="D133" s="35">
        <v>370</v>
      </c>
    </row>
    <row r="134" spans="1:4" ht="16.95" customHeight="1">
      <c r="A134" s="25">
        <v>107</v>
      </c>
      <c r="B134" s="37" t="s">
        <v>197</v>
      </c>
      <c r="C134" s="38" t="s">
        <v>198</v>
      </c>
      <c r="D134" s="35">
        <v>180</v>
      </c>
    </row>
    <row r="135" spans="1:4" ht="16.95" customHeight="1">
      <c r="A135" s="25">
        <v>108</v>
      </c>
      <c r="B135" s="37" t="s">
        <v>199</v>
      </c>
      <c r="C135" s="38" t="s">
        <v>200</v>
      </c>
      <c r="D135" s="35">
        <v>370</v>
      </c>
    </row>
    <row r="136" spans="1:4" ht="19.95" customHeight="1">
      <c r="A136" s="25">
        <v>109</v>
      </c>
      <c r="B136" s="37" t="s">
        <v>201</v>
      </c>
      <c r="C136" s="38" t="s">
        <v>202</v>
      </c>
      <c r="D136" s="35">
        <v>1840</v>
      </c>
    </row>
    <row r="137" spans="1:4" ht="16.95" customHeight="1">
      <c r="A137" s="25"/>
      <c r="B137" s="26"/>
      <c r="C137" s="27" t="s">
        <v>640</v>
      </c>
      <c r="D137" s="35">
        <v>0</v>
      </c>
    </row>
    <row r="138" spans="1:4" ht="16.95" customHeight="1">
      <c r="A138" s="25">
        <v>110</v>
      </c>
      <c r="B138" s="37" t="s">
        <v>203</v>
      </c>
      <c r="C138" s="38" t="s">
        <v>204</v>
      </c>
      <c r="D138" s="35">
        <v>1510</v>
      </c>
    </row>
    <row r="139" spans="1:4" ht="16.95" customHeight="1">
      <c r="A139" s="25">
        <v>111</v>
      </c>
      <c r="B139" s="37" t="s">
        <v>205</v>
      </c>
      <c r="C139" s="38" t="s">
        <v>206</v>
      </c>
      <c r="D139" s="35">
        <v>390</v>
      </c>
    </row>
    <row r="140" spans="1:4" ht="16.95" customHeight="1">
      <c r="A140" s="25">
        <v>112</v>
      </c>
      <c r="B140" s="37" t="s">
        <v>207</v>
      </c>
      <c r="C140" s="38" t="s">
        <v>208</v>
      </c>
      <c r="D140" s="35">
        <v>1530</v>
      </c>
    </row>
    <row r="141" spans="1:4" ht="16.95" customHeight="1">
      <c r="A141" s="25">
        <v>113</v>
      </c>
      <c r="B141" s="37" t="s">
        <v>209</v>
      </c>
      <c r="C141" s="38" t="s">
        <v>210</v>
      </c>
      <c r="D141" s="35">
        <v>2260</v>
      </c>
    </row>
    <row r="142" spans="1:4" ht="16.95" customHeight="1">
      <c r="A142" s="25">
        <v>114</v>
      </c>
      <c r="B142" s="37" t="s">
        <v>211</v>
      </c>
      <c r="C142" s="38" t="s">
        <v>212</v>
      </c>
      <c r="D142" s="35">
        <v>760</v>
      </c>
    </row>
    <row r="143" spans="1:4" ht="16.95" customHeight="1">
      <c r="A143" s="25">
        <v>115</v>
      </c>
      <c r="B143" s="37" t="s">
        <v>213</v>
      </c>
      <c r="C143" s="38" t="s">
        <v>214</v>
      </c>
      <c r="D143" s="35">
        <v>940</v>
      </c>
    </row>
    <row r="144" spans="1:4" ht="16.95" customHeight="1">
      <c r="A144" s="25">
        <v>116</v>
      </c>
      <c r="B144" s="37" t="s">
        <v>215</v>
      </c>
      <c r="C144" s="38" t="s">
        <v>216</v>
      </c>
      <c r="D144" s="35">
        <v>1680</v>
      </c>
    </row>
    <row r="145" spans="1:4" ht="16.95" customHeight="1">
      <c r="A145" s="25">
        <v>117</v>
      </c>
      <c r="B145" s="37" t="s">
        <v>217</v>
      </c>
      <c r="C145" s="38" t="s">
        <v>218</v>
      </c>
      <c r="D145" s="35">
        <v>100</v>
      </c>
    </row>
    <row r="146" spans="1:4" ht="16.95" customHeight="1">
      <c r="A146" s="25">
        <v>118</v>
      </c>
      <c r="B146" s="37" t="s">
        <v>219</v>
      </c>
      <c r="C146" s="38" t="s">
        <v>220</v>
      </c>
      <c r="D146" s="35">
        <v>770</v>
      </c>
    </row>
    <row r="147" spans="1:4" ht="16.95" customHeight="1">
      <c r="A147" s="25">
        <v>119</v>
      </c>
      <c r="B147" s="37" t="s">
        <v>221</v>
      </c>
      <c r="C147" s="38" t="s">
        <v>222</v>
      </c>
      <c r="D147" s="35">
        <v>770</v>
      </c>
    </row>
    <row r="148" spans="1:4" ht="16.95" customHeight="1">
      <c r="A148" s="25">
        <v>120</v>
      </c>
      <c r="B148" s="37" t="s">
        <v>223</v>
      </c>
      <c r="C148" s="38" t="s">
        <v>224</v>
      </c>
      <c r="D148" s="35">
        <v>1510</v>
      </c>
    </row>
    <row r="149" spans="1:4" ht="16.95" customHeight="1">
      <c r="A149" s="25">
        <v>121</v>
      </c>
      <c r="B149" s="37" t="s">
        <v>225</v>
      </c>
      <c r="C149" s="38" t="s">
        <v>226</v>
      </c>
      <c r="D149" s="35">
        <v>1110</v>
      </c>
    </row>
    <row r="150" spans="1:4" ht="16.95" customHeight="1">
      <c r="A150" s="25">
        <v>122</v>
      </c>
      <c r="B150" s="37" t="s">
        <v>227</v>
      </c>
      <c r="C150" s="38" t="s">
        <v>228</v>
      </c>
      <c r="D150" s="35">
        <v>2390</v>
      </c>
    </row>
    <row r="151" spans="1:4" ht="16.95" customHeight="1">
      <c r="A151" s="25">
        <v>123</v>
      </c>
      <c r="B151" s="37" t="s">
        <v>229</v>
      </c>
      <c r="C151" s="38" t="s">
        <v>230</v>
      </c>
      <c r="D151" s="35">
        <v>100</v>
      </c>
    </row>
    <row r="152" spans="1:4" ht="16.95" customHeight="1">
      <c r="A152" s="25">
        <v>124</v>
      </c>
      <c r="B152" s="37" t="s">
        <v>231</v>
      </c>
      <c r="C152" s="38" t="s">
        <v>232</v>
      </c>
      <c r="D152" s="35">
        <v>1110</v>
      </c>
    </row>
    <row r="153" spans="1:4" ht="16.95" customHeight="1">
      <c r="A153" s="25">
        <v>125</v>
      </c>
      <c r="B153" s="37" t="s">
        <v>233</v>
      </c>
      <c r="C153" s="38" t="s">
        <v>234</v>
      </c>
      <c r="D153" s="35">
        <v>100</v>
      </c>
    </row>
    <row r="154" spans="1:4" ht="16.95" customHeight="1">
      <c r="A154" s="25">
        <v>126</v>
      </c>
      <c r="B154" s="37" t="s">
        <v>235</v>
      </c>
      <c r="C154" s="38" t="s">
        <v>236</v>
      </c>
      <c r="D154" s="35">
        <v>1680</v>
      </c>
    </row>
    <row r="155" spans="1:4" ht="16.95" customHeight="1">
      <c r="A155" s="25">
        <v>127</v>
      </c>
      <c r="B155" s="37" t="s">
        <v>237</v>
      </c>
      <c r="C155" s="38" t="s">
        <v>238</v>
      </c>
      <c r="D155" s="35">
        <v>12490</v>
      </c>
    </row>
    <row r="156" spans="1:4" ht="16.95" customHeight="1">
      <c r="A156" s="25">
        <v>128</v>
      </c>
      <c r="B156" s="37" t="s">
        <v>239</v>
      </c>
      <c r="C156" s="38" t="s">
        <v>240</v>
      </c>
      <c r="D156" s="35">
        <v>12490</v>
      </c>
    </row>
    <row r="157" spans="1:4" ht="16.95" customHeight="1">
      <c r="A157" s="25">
        <v>129</v>
      </c>
      <c r="B157" s="37" t="s">
        <v>241</v>
      </c>
      <c r="C157" s="38" t="s">
        <v>242</v>
      </c>
      <c r="D157" s="35">
        <v>180</v>
      </c>
    </row>
    <row r="158" spans="1:4" ht="16.95" customHeight="1">
      <c r="A158" s="25">
        <v>130</v>
      </c>
      <c r="B158" s="37" t="s">
        <v>243</v>
      </c>
      <c r="C158" s="38" t="s">
        <v>244</v>
      </c>
      <c r="D158" s="35">
        <v>6750</v>
      </c>
    </row>
    <row r="159" spans="1:4" ht="16.95" customHeight="1">
      <c r="A159" s="25">
        <v>131</v>
      </c>
      <c r="B159" s="37" t="s">
        <v>245</v>
      </c>
      <c r="C159" s="38" t="s">
        <v>246</v>
      </c>
      <c r="D159" s="35">
        <v>1110</v>
      </c>
    </row>
    <row r="160" spans="1:4" ht="16.95" customHeight="1">
      <c r="A160" s="25">
        <v>132</v>
      </c>
      <c r="B160" s="37" t="s">
        <v>247</v>
      </c>
      <c r="C160" s="38" t="s">
        <v>248</v>
      </c>
      <c r="D160" s="35">
        <v>1110</v>
      </c>
    </row>
    <row r="161" spans="1:4" ht="16.95" customHeight="1">
      <c r="A161" s="25">
        <v>133</v>
      </c>
      <c r="B161" s="37" t="s">
        <v>249</v>
      </c>
      <c r="C161" s="38" t="s">
        <v>250</v>
      </c>
      <c r="D161" s="35">
        <v>1110</v>
      </c>
    </row>
    <row r="162" spans="1:4" ht="16.95" customHeight="1">
      <c r="A162" s="25">
        <v>134</v>
      </c>
      <c r="B162" s="37" t="s">
        <v>251</v>
      </c>
      <c r="C162" s="38" t="s">
        <v>252</v>
      </c>
      <c r="D162" s="35">
        <v>2290</v>
      </c>
    </row>
    <row r="163" spans="1:4" ht="16.95" customHeight="1">
      <c r="A163" s="25">
        <v>135</v>
      </c>
      <c r="B163" s="37" t="s">
        <v>253</v>
      </c>
      <c r="C163" s="38" t="s">
        <v>254</v>
      </c>
      <c r="D163" s="35">
        <v>180</v>
      </c>
    </row>
    <row r="164" spans="1:4" ht="16.95" customHeight="1">
      <c r="A164" s="25">
        <v>136</v>
      </c>
      <c r="B164" s="37" t="s">
        <v>255</v>
      </c>
      <c r="C164" s="38" t="s">
        <v>256</v>
      </c>
      <c r="D164" s="35">
        <v>1110</v>
      </c>
    </row>
    <row r="165" spans="1:4" ht="16.95" customHeight="1">
      <c r="A165" s="25">
        <v>137</v>
      </c>
      <c r="B165" s="37" t="s">
        <v>257</v>
      </c>
      <c r="C165" s="38" t="s">
        <v>258</v>
      </c>
      <c r="D165" s="35">
        <v>1530</v>
      </c>
    </row>
    <row r="166" spans="1:4" ht="16.95" customHeight="1">
      <c r="A166" s="25">
        <v>138</v>
      </c>
      <c r="B166" s="37" t="s">
        <v>259</v>
      </c>
      <c r="C166" s="38" t="s">
        <v>260</v>
      </c>
      <c r="D166" s="35">
        <v>1870</v>
      </c>
    </row>
    <row r="167" spans="1:4" ht="16.95" customHeight="1">
      <c r="A167" s="25">
        <v>139</v>
      </c>
      <c r="B167" s="37" t="s">
        <v>261</v>
      </c>
      <c r="C167" s="38" t="s">
        <v>262</v>
      </c>
      <c r="D167" s="35">
        <v>1510</v>
      </c>
    </row>
    <row r="168" spans="1:4" ht="16.95" customHeight="1">
      <c r="A168" s="25">
        <v>140</v>
      </c>
      <c r="B168" s="37" t="s">
        <v>263</v>
      </c>
      <c r="C168" s="38" t="s">
        <v>264</v>
      </c>
      <c r="D168" s="35">
        <v>5610</v>
      </c>
    </row>
    <row r="169" spans="1:4" ht="16.95" customHeight="1">
      <c r="A169" s="25">
        <v>141</v>
      </c>
      <c r="B169" s="37" t="s">
        <v>265</v>
      </c>
      <c r="C169" s="38" t="s">
        <v>266</v>
      </c>
      <c r="D169" s="35">
        <v>1110</v>
      </c>
    </row>
    <row r="170" spans="1:4" ht="16.95" customHeight="1">
      <c r="A170" s="25">
        <v>142</v>
      </c>
      <c r="B170" s="37" t="s">
        <v>267</v>
      </c>
      <c r="C170" s="38" t="s">
        <v>268</v>
      </c>
      <c r="D170" s="35">
        <v>760</v>
      </c>
    </row>
    <row r="171" spans="1:4" ht="16.95" customHeight="1">
      <c r="A171" s="25">
        <v>143</v>
      </c>
      <c r="B171" s="37" t="s">
        <v>269</v>
      </c>
      <c r="C171" s="38" t="s">
        <v>270</v>
      </c>
      <c r="D171" s="35">
        <v>100</v>
      </c>
    </row>
    <row r="172" spans="1:4" ht="16.95" customHeight="1">
      <c r="A172" s="25">
        <v>144</v>
      </c>
      <c r="B172" s="37" t="s">
        <v>271</v>
      </c>
      <c r="C172" s="38" t="s">
        <v>272</v>
      </c>
      <c r="D172" s="35">
        <v>370</v>
      </c>
    </row>
    <row r="173" spans="1:4" ht="16.95" customHeight="1">
      <c r="A173" s="25">
        <v>145</v>
      </c>
      <c r="B173" s="37" t="s">
        <v>273</v>
      </c>
      <c r="C173" s="38" t="s">
        <v>274</v>
      </c>
      <c r="D173" s="35">
        <v>370</v>
      </c>
    </row>
    <row r="174" spans="1:4" ht="16.95" customHeight="1">
      <c r="A174" s="25">
        <v>146</v>
      </c>
      <c r="B174" s="37" t="s">
        <v>275</v>
      </c>
      <c r="C174" s="38" t="s">
        <v>276</v>
      </c>
      <c r="D174" s="35">
        <v>370</v>
      </c>
    </row>
    <row r="175" spans="1:4" ht="16.95" customHeight="1">
      <c r="A175" s="25">
        <v>147</v>
      </c>
      <c r="B175" s="37" t="s">
        <v>277</v>
      </c>
      <c r="C175" s="38" t="s">
        <v>278</v>
      </c>
      <c r="D175" s="35">
        <v>540</v>
      </c>
    </row>
    <row r="176" spans="1:4" ht="16.95" customHeight="1">
      <c r="A176" s="25">
        <v>148</v>
      </c>
      <c r="B176" s="37" t="s">
        <v>279</v>
      </c>
      <c r="C176" s="38" t="s">
        <v>280</v>
      </c>
      <c r="D176" s="35">
        <v>1400</v>
      </c>
    </row>
    <row r="177" spans="1:4" ht="16.95" customHeight="1">
      <c r="A177" s="25">
        <v>149</v>
      </c>
      <c r="B177" s="37" t="s">
        <v>281</v>
      </c>
      <c r="C177" s="38" t="s">
        <v>282</v>
      </c>
      <c r="D177" s="35">
        <v>2750</v>
      </c>
    </row>
    <row r="178" spans="1:4" ht="16.95" customHeight="1">
      <c r="A178" s="25">
        <v>150</v>
      </c>
      <c r="B178" s="37" t="s">
        <v>283</v>
      </c>
      <c r="C178" s="38" t="s">
        <v>284</v>
      </c>
      <c r="D178" s="35">
        <v>1510</v>
      </c>
    </row>
    <row r="179" spans="1:4" ht="16.95" customHeight="1">
      <c r="A179" s="25">
        <v>151</v>
      </c>
      <c r="B179" s="37" t="s">
        <v>285</v>
      </c>
      <c r="C179" s="38" t="s">
        <v>286</v>
      </c>
      <c r="D179" s="35">
        <v>1680</v>
      </c>
    </row>
    <row r="180" spans="1:4" ht="16.95" customHeight="1">
      <c r="A180" s="25">
        <v>152</v>
      </c>
      <c r="B180" s="37" t="s">
        <v>287</v>
      </c>
      <c r="C180" s="38" t="s">
        <v>288</v>
      </c>
      <c r="D180" s="35">
        <v>3660</v>
      </c>
    </row>
    <row r="181" spans="1:4" ht="16.95" customHeight="1">
      <c r="A181" s="25"/>
      <c r="B181" s="26"/>
      <c r="C181" s="27" t="s">
        <v>289</v>
      </c>
      <c r="D181" s="35">
        <v>0</v>
      </c>
    </row>
    <row r="182" spans="1:4" s="46" customFormat="1" ht="16.95" customHeight="1">
      <c r="A182" s="43"/>
      <c r="B182" s="44"/>
      <c r="C182" s="45" t="s">
        <v>641</v>
      </c>
      <c r="D182" s="35">
        <v>0</v>
      </c>
    </row>
    <row r="183" spans="1:4" ht="16.95" customHeight="1">
      <c r="A183" s="25">
        <v>153</v>
      </c>
      <c r="B183" s="37" t="s">
        <v>290</v>
      </c>
      <c r="C183" s="38" t="s">
        <v>291</v>
      </c>
      <c r="D183" s="35">
        <v>2420</v>
      </c>
    </row>
    <row r="184" spans="1:4" ht="16.95" customHeight="1">
      <c r="A184" s="25">
        <v>154</v>
      </c>
      <c r="B184" s="37" t="s">
        <v>292</v>
      </c>
      <c r="C184" s="38" t="s">
        <v>293</v>
      </c>
      <c r="D184" s="35">
        <v>620</v>
      </c>
    </row>
    <row r="185" spans="1:4" ht="16.95" customHeight="1">
      <c r="A185" s="25">
        <v>155</v>
      </c>
      <c r="B185" s="37" t="s">
        <v>294</v>
      </c>
      <c r="C185" s="38" t="s">
        <v>295</v>
      </c>
      <c r="D185" s="35">
        <v>2420</v>
      </c>
    </row>
    <row r="186" spans="1:4" ht="16.95" customHeight="1">
      <c r="A186" s="25">
        <v>156</v>
      </c>
      <c r="B186" s="37" t="s">
        <v>296</v>
      </c>
      <c r="C186" s="38" t="s">
        <v>297</v>
      </c>
      <c r="D186" s="35">
        <v>310</v>
      </c>
    </row>
    <row r="187" spans="1:4" ht="16.95" customHeight="1">
      <c r="A187" s="25">
        <v>157</v>
      </c>
      <c r="B187" s="37" t="s">
        <v>298</v>
      </c>
      <c r="C187" s="38" t="s">
        <v>299</v>
      </c>
      <c r="D187" s="35">
        <v>130</v>
      </c>
    </row>
    <row r="188" spans="1:4" ht="16.95" customHeight="1">
      <c r="A188" s="25">
        <v>158</v>
      </c>
      <c r="B188" s="37" t="s">
        <v>300</v>
      </c>
      <c r="C188" s="38" t="s">
        <v>301</v>
      </c>
      <c r="D188" s="35">
        <v>620</v>
      </c>
    </row>
    <row r="189" spans="1:4" ht="16.95" customHeight="1">
      <c r="A189" s="25">
        <v>159</v>
      </c>
      <c r="B189" s="37" t="s">
        <v>302</v>
      </c>
      <c r="C189" s="38" t="s">
        <v>303</v>
      </c>
      <c r="D189" s="35">
        <v>1510</v>
      </c>
    </row>
    <row r="190" spans="1:4" ht="16.95" customHeight="1">
      <c r="A190" s="25">
        <v>160</v>
      </c>
      <c r="B190" s="37" t="s">
        <v>304</v>
      </c>
      <c r="C190" s="38" t="s">
        <v>305</v>
      </c>
      <c r="D190" s="35">
        <v>3630</v>
      </c>
    </row>
    <row r="191" spans="1:4" ht="16.95" customHeight="1">
      <c r="A191" s="25">
        <v>161</v>
      </c>
      <c r="B191" s="37" t="s">
        <v>306</v>
      </c>
      <c r="C191" s="38" t="s">
        <v>307</v>
      </c>
      <c r="D191" s="35">
        <v>1510</v>
      </c>
    </row>
    <row r="192" spans="1:4" ht="16.95" customHeight="1">
      <c r="A192" s="25">
        <v>162</v>
      </c>
      <c r="B192" s="37" t="s">
        <v>308</v>
      </c>
      <c r="C192" s="38" t="s">
        <v>309</v>
      </c>
      <c r="D192" s="35">
        <v>5510</v>
      </c>
    </row>
    <row r="193" spans="1:4" ht="16.95" customHeight="1">
      <c r="A193" s="25">
        <v>163</v>
      </c>
      <c r="B193" s="37" t="s">
        <v>310</v>
      </c>
      <c r="C193" s="38" t="s">
        <v>311</v>
      </c>
      <c r="D193" s="35">
        <v>1210</v>
      </c>
    </row>
    <row r="194" spans="1:4" ht="16.95" customHeight="1">
      <c r="A194" s="25">
        <v>164</v>
      </c>
      <c r="B194" s="37" t="s">
        <v>312</v>
      </c>
      <c r="C194" s="38" t="s">
        <v>313</v>
      </c>
      <c r="D194" s="35">
        <v>1210</v>
      </c>
    </row>
    <row r="195" spans="1:4" ht="16.95" customHeight="1">
      <c r="A195" s="25">
        <v>165</v>
      </c>
      <c r="B195" s="37" t="s">
        <v>314</v>
      </c>
      <c r="C195" s="38" t="s">
        <v>315</v>
      </c>
      <c r="D195" s="35">
        <v>1820</v>
      </c>
    </row>
    <row r="196" spans="1:4" ht="16.95" customHeight="1">
      <c r="A196" s="25">
        <v>166</v>
      </c>
      <c r="B196" s="37" t="s">
        <v>316</v>
      </c>
      <c r="C196" s="38" t="s">
        <v>317</v>
      </c>
      <c r="D196" s="35">
        <v>3630</v>
      </c>
    </row>
    <row r="197" spans="1:4" ht="16.95" customHeight="1">
      <c r="A197" s="25">
        <v>167</v>
      </c>
      <c r="B197" s="37" t="s">
        <v>318</v>
      </c>
      <c r="C197" s="38" t="s">
        <v>319</v>
      </c>
      <c r="D197" s="35">
        <v>2420</v>
      </c>
    </row>
    <row r="198" spans="1:4" ht="16.95" customHeight="1">
      <c r="A198" s="25">
        <v>168</v>
      </c>
      <c r="B198" s="37" t="s">
        <v>320</v>
      </c>
      <c r="C198" s="38" t="s">
        <v>321</v>
      </c>
      <c r="D198" s="35">
        <v>310</v>
      </c>
    </row>
    <row r="199" spans="1:4" ht="16.95" customHeight="1">
      <c r="A199" s="25">
        <v>169</v>
      </c>
      <c r="B199" s="37" t="s">
        <v>322</v>
      </c>
      <c r="C199" s="38" t="s">
        <v>323</v>
      </c>
      <c r="D199" s="35">
        <v>2420</v>
      </c>
    </row>
    <row r="200" spans="1:4" ht="16.95" customHeight="1">
      <c r="A200" s="25">
        <v>170</v>
      </c>
      <c r="B200" s="37" t="s">
        <v>324</v>
      </c>
      <c r="C200" s="38" t="s">
        <v>325</v>
      </c>
      <c r="D200" s="35">
        <v>3630</v>
      </c>
    </row>
    <row r="201" spans="1:4" ht="16.95" customHeight="1">
      <c r="A201" s="25">
        <v>171</v>
      </c>
      <c r="B201" s="37" t="s">
        <v>326</v>
      </c>
      <c r="C201" s="38" t="s">
        <v>327</v>
      </c>
      <c r="D201" s="35">
        <v>620</v>
      </c>
    </row>
    <row r="202" spans="1:4" ht="16.95" customHeight="1">
      <c r="A202" s="25">
        <v>172</v>
      </c>
      <c r="B202" s="37" t="s">
        <v>328</v>
      </c>
      <c r="C202" s="38" t="s">
        <v>329</v>
      </c>
      <c r="D202" s="35">
        <v>3630</v>
      </c>
    </row>
    <row r="203" spans="1:4" ht="16.95" customHeight="1">
      <c r="A203" s="25">
        <v>173</v>
      </c>
      <c r="B203" s="37" t="s">
        <v>330</v>
      </c>
      <c r="C203" s="38" t="s">
        <v>331</v>
      </c>
      <c r="D203" s="35">
        <v>920</v>
      </c>
    </row>
    <row r="204" spans="1:4" ht="16.95" customHeight="1">
      <c r="A204" s="25">
        <v>174</v>
      </c>
      <c r="B204" s="37" t="s">
        <v>332</v>
      </c>
      <c r="C204" s="38" t="s">
        <v>333</v>
      </c>
      <c r="D204" s="35">
        <v>620</v>
      </c>
    </row>
    <row r="205" spans="1:4" ht="16.95" customHeight="1">
      <c r="A205" s="25">
        <v>175</v>
      </c>
      <c r="B205" s="37" t="s">
        <v>334</v>
      </c>
      <c r="C205" s="38" t="s">
        <v>335</v>
      </c>
      <c r="D205" s="35">
        <v>4840</v>
      </c>
    </row>
    <row r="206" spans="1:4" ht="16.95" customHeight="1">
      <c r="A206" s="25">
        <v>176</v>
      </c>
      <c r="B206" s="37" t="s">
        <v>336</v>
      </c>
      <c r="C206" s="38" t="s">
        <v>337</v>
      </c>
      <c r="D206" s="35">
        <v>3630</v>
      </c>
    </row>
    <row r="207" spans="1:4" ht="16.95" customHeight="1">
      <c r="A207" s="25">
        <v>177</v>
      </c>
      <c r="B207" s="37" t="s">
        <v>338</v>
      </c>
      <c r="C207" s="38" t="s">
        <v>339</v>
      </c>
      <c r="D207" s="35">
        <v>4840</v>
      </c>
    </row>
    <row r="208" spans="1:4" ht="16.95" customHeight="1">
      <c r="A208" s="25">
        <v>178</v>
      </c>
      <c r="B208" s="37" t="s">
        <v>340</v>
      </c>
      <c r="C208" s="38" t="s">
        <v>341</v>
      </c>
      <c r="D208" s="35">
        <v>920</v>
      </c>
    </row>
    <row r="209" spans="1:4" ht="16.95" customHeight="1">
      <c r="A209" s="25">
        <v>179</v>
      </c>
      <c r="B209" s="37" t="s">
        <v>342</v>
      </c>
      <c r="C209" s="38" t="s">
        <v>343</v>
      </c>
      <c r="D209" s="35">
        <v>3660</v>
      </c>
    </row>
    <row r="210" spans="1:4" ht="16.95" customHeight="1">
      <c r="A210" s="25">
        <v>180</v>
      </c>
      <c r="B210" s="37" t="s">
        <v>344</v>
      </c>
      <c r="C210" s="38" t="s">
        <v>345</v>
      </c>
      <c r="D210" s="35">
        <v>4840</v>
      </c>
    </row>
    <row r="211" spans="1:4" ht="16.95" customHeight="1">
      <c r="A211" s="25">
        <v>181</v>
      </c>
      <c r="B211" s="37" t="s">
        <v>346</v>
      </c>
      <c r="C211" s="38" t="s">
        <v>347</v>
      </c>
      <c r="D211" s="35">
        <v>1210</v>
      </c>
    </row>
    <row r="212" spans="1:4" ht="16.95" customHeight="1">
      <c r="A212" s="25">
        <v>182</v>
      </c>
      <c r="B212" s="37" t="s">
        <v>348</v>
      </c>
      <c r="C212" s="38" t="s">
        <v>349</v>
      </c>
      <c r="D212" s="35">
        <v>2420</v>
      </c>
    </row>
    <row r="213" spans="1:4" ht="16.95" customHeight="1">
      <c r="A213" s="25">
        <v>183</v>
      </c>
      <c r="B213" s="37" t="s">
        <v>350</v>
      </c>
      <c r="C213" s="38" t="s">
        <v>351</v>
      </c>
      <c r="D213" s="35">
        <v>4590</v>
      </c>
    </row>
    <row r="214" spans="1:4" ht="16.95" customHeight="1">
      <c r="A214" s="354">
        <v>184</v>
      </c>
      <c r="B214" s="355" t="s">
        <v>476</v>
      </c>
      <c r="C214" s="356" t="s">
        <v>1437</v>
      </c>
      <c r="D214" s="357">
        <v>700</v>
      </c>
    </row>
    <row r="215" spans="1:4" ht="16.95" customHeight="1">
      <c r="A215" s="25">
        <v>185</v>
      </c>
      <c r="B215" s="37" t="s">
        <v>352</v>
      </c>
      <c r="C215" s="38" t="s">
        <v>353</v>
      </c>
      <c r="D215" s="35">
        <v>450</v>
      </c>
    </row>
    <row r="216" spans="1:4" ht="16.95" customHeight="1">
      <c r="A216" s="25">
        <v>186</v>
      </c>
      <c r="B216" s="37" t="s">
        <v>354</v>
      </c>
      <c r="C216" s="38" t="s">
        <v>355</v>
      </c>
      <c r="D216" s="35">
        <v>3430</v>
      </c>
    </row>
    <row r="217" spans="1:4" ht="16.95" customHeight="1">
      <c r="A217" s="25">
        <v>187</v>
      </c>
      <c r="B217" s="37" t="s">
        <v>356</v>
      </c>
      <c r="C217" s="38" t="s">
        <v>357</v>
      </c>
      <c r="D217" s="35">
        <v>4590</v>
      </c>
    </row>
    <row r="218" spans="1:4" ht="16.95" customHeight="1">
      <c r="A218" s="25">
        <v>188</v>
      </c>
      <c r="B218" s="37" t="s">
        <v>358</v>
      </c>
      <c r="C218" s="38" t="s">
        <v>359</v>
      </c>
      <c r="D218" s="35">
        <v>4590</v>
      </c>
    </row>
    <row r="219" spans="1:4" ht="16.95" customHeight="1">
      <c r="A219" s="25">
        <v>189</v>
      </c>
      <c r="B219" s="37" t="s">
        <v>360</v>
      </c>
      <c r="C219" s="38" t="s">
        <v>361</v>
      </c>
      <c r="D219" s="35">
        <v>620</v>
      </c>
    </row>
    <row r="220" spans="1:4" ht="16.95" customHeight="1">
      <c r="A220" s="25">
        <v>190</v>
      </c>
      <c r="B220" s="37" t="s">
        <v>362</v>
      </c>
      <c r="C220" s="38" t="s">
        <v>363</v>
      </c>
      <c r="D220" s="35">
        <v>620</v>
      </c>
    </row>
    <row r="221" spans="1:4" ht="16.95" customHeight="1">
      <c r="A221" s="25">
        <v>191</v>
      </c>
      <c r="B221" s="37" t="s">
        <v>364</v>
      </c>
      <c r="C221" s="38" t="s">
        <v>365</v>
      </c>
      <c r="D221" s="35">
        <v>180</v>
      </c>
    </row>
    <row r="222" spans="1:4" ht="16.95" customHeight="1">
      <c r="A222" s="25">
        <v>192</v>
      </c>
      <c r="B222" s="37" t="s">
        <v>366</v>
      </c>
      <c r="C222" s="38" t="s">
        <v>367</v>
      </c>
      <c r="D222" s="35">
        <v>300</v>
      </c>
    </row>
    <row r="223" spans="1:4" ht="16.95" customHeight="1">
      <c r="A223" s="25">
        <v>193</v>
      </c>
      <c r="B223" s="37" t="s">
        <v>368</v>
      </c>
      <c r="C223" s="38" t="s">
        <v>369</v>
      </c>
      <c r="D223" s="35">
        <v>310</v>
      </c>
    </row>
    <row r="224" spans="1:4" ht="16.95" customHeight="1">
      <c r="A224" s="25">
        <v>194</v>
      </c>
      <c r="B224" s="37" t="s">
        <v>370</v>
      </c>
      <c r="C224" s="38" t="s">
        <v>371</v>
      </c>
      <c r="D224" s="35">
        <v>620</v>
      </c>
    </row>
    <row r="225" spans="1:4" ht="16.95" customHeight="1">
      <c r="A225" s="25">
        <v>195</v>
      </c>
      <c r="B225" s="37" t="s">
        <v>372</v>
      </c>
      <c r="C225" s="38" t="s">
        <v>1413</v>
      </c>
      <c r="D225" s="35">
        <v>1000</v>
      </c>
    </row>
    <row r="226" spans="1:4" ht="16.95" customHeight="1">
      <c r="A226" s="25">
        <v>196</v>
      </c>
      <c r="B226" s="37" t="s">
        <v>373</v>
      </c>
      <c r="C226" s="38" t="s">
        <v>374</v>
      </c>
      <c r="D226" s="35">
        <v>920</v>
      </c>
    </row>
    <row r="227" spans="1:4" ht="16.95" customHeight="1">
      <c r="A227" s="25">
        <v>197</v>
      </c>
      <c r="B227" s="37" t="s">
        <v>375</v>
      </c>
      <c r="C227" s="38" t="s">
        <v>376</v>
      </c>
      <c r="D227" s="35">
        <v>310</v>
      </c>
    </row>
    <row r="228" spans="1:4" s="46" customFormat="1" ht="16.95" customHeight="1">
      <c r="A228" s="43"/>
      <c r="B228" s="44"/>
      <c r="C228" s="45" t="s">
        <v>377</v>
      </c>
      <c r="D228" s="35">
        <v>0</v>
      </c>
    </row>
    <row r="229" spans="1:4" ht="16.95" customHeight="1">
      <c r="A229" s="25">
        <v>198</v>
      </c>
      <c r="B229" s="37" t="s">
        <v>378</v>
      </c>
      <c r="C229" s="38" t="s">
        <v>379</v>
      </c>
      <c r="D229" s="35">
        <v>410</v>
      </c>
    </row>
    <row r="230" spans="1:4" ht="16.95" customHeight="1">
      <c r="A230" s="25">
        <v>199</v>
      </c>
      <c r="B230" s="37" t="s">
        <v>380</v>
      </c>
      <c r="C230" s="38" t="s">
        <v>381</v>
      </c>
      <c r="D230" s="35">
        <v>130</v>
      </c>
    </row>
    <row r="231" spans="1:4" ht="16.95" customHeight="1">
      <c r="A231" s="25">
        <v>200</v>
      </c>
      <c r="B231" s="37" t="s">
        <v>382</v>
      </c>
      <c r="C231" s="38" t="s">
        <v>383</v>
      </c>
      <c r="D231" s="35">
        <v>210</v>
      </c>
    </row>
    <row r="232" spans="1:4" ht="16.95" customHeight="1">
      <c r="A232" s="25">
        <v>201</v>
      </c>
      <c r="B232" s="37" t="s">
        <v>384</v>
      </c>
      <c r="C232" s="38" t="s">
        <v>385</v>
      </c>
      <c r="D232" s="35">
        <v>390</v>
      </c>
    </row>
    <row r="233" spans="1:4" ht="16.95" customHeight="1">
      <c r="A233" s="25">
        <v>202</v>
      </c>
      <c r="B233" s="37" t="s">
        <v>386</v>
      </c>
      <c r="C233" s="38" t="s">
        <v>387</v>
      </c>
      <c r="D233" s="35">
        <v>300</v>
      </c>
    </row>
    <row r="234" spans="1:4" ht="16.95" customHeight="1">
      <c r="A234" s="25">
        <v>203</v>
      </c>
      <c r="B234" s="37" t="s">
        <v>388</v>
      </c>
      <c r="C234" s="38" t="s">
        <v>389</v>
      </c>
      <c r="D234" s="35">
        <v>920</v>
      </c>
    </row>
    <row r="235" spans="1:4" ht="16.95" customHeight="1">
      <c r="A235" s="25">
        <v>204</v>
      </c>
      <c r="B235" s="37" t="s">
        <v>390</v>
      </c>
      <c r="C235" s="38" t="s">
        <v>391</v>
      </c>
      <c r="D235" s="35">
        <v>140</v>
      </c>
    </row>
    <row r="236" spans="1:4" ht="16.95" customHeight="1">
      <c r="A236" s="25">
        <v>205</v>
      </c>
      <c r="B236" s="37" t="s">
        <v>392</v>
      </c>
      <c r="C236" s="38" t="s">
        <v>393</v>
      </c>
      <c r="D236" s="35">
        <v>790</v>
      </c>
    </row>
    <row r="237" spans="1:4" ht="16.95" customHeight="1">
      <c r="A237" s="25">
        <v>206</v>
      </c>
      <c r="B237" s="37" t="s">
        <v>394</v>
      </c>
      <c r="C237" s="38" t="s">
        <v>395</v>
      </c>
      <c r="D237" s="35">
        <v>5040</v>
      </c>
    </row>
    <row r="238" spans="1:4" ht="16.95" customHeight="1">
      <c r="A238" s="25">
        <v>207</v>
      </c>
      <c r="B238" s="37" t="s">
        <v>396</v>
      </c>
      <c r="C238" s="38" t="s">
        <v>397</v>
      </c>
      <c r="D238" s="35">
        <v>150</v>
      </c>
    </row>
    <row r="239" spans="1:4" ht="16.95" customHeight="1">
      <c r="A239" s="25">
        <v>208</v>
      </c>
      <c r="B239" s="37" t="s">
        <v>398</v>
      </c>
      <c r="C239" s="38" t="s">
        <v>399</v>
      </c>
      <c r="D239" s="35">
        <v>1200</v>
      </c>
    </row>
    <row r="240" spans="1:4" ht="16.95" customHeight="1">
      <c r="A240" s="25">
        <v>209</v>
      </c>
      <c r="B240" s="37" t="s">
        <v>400</v>
      </c>
      <c r="C240" s="38" t="s">
        <v>401</v>
      </c>
      <c r="D240" s="35">
        <v>1200</v>
      </c>
    </row>
    <row r="241" spans="1:4" ht="16.95" customHeight="1">
      <c r="A241" s="25">
        <v>210</v>
      </c>
      <c r="B241" s="37" t="s">
        <v>402</v>
      </c>
      <c r="C241" s="38" t="s">
        <v>403</v>
      </c>
      <c r="D241" s="35">
        <v>1580</v>
      </c>
    </row>
    <row r="242" spans="1:4" ht="16.95" customHeight="1">
      <c r="A242" s="25">
        <v>211</v>
      </c>
      <c r="B242" s="37" t="s">
        <v>404</v>
      </c>
      <c r="C242" s="38" t="s">
        <v>405</v>
      </c>
      <c r="D242" s="35">
        <v>4590</v>
      </c>
    </row>
    <row r="243" spans="1:4" ht="16.95" customHeight="1">
      <c r="A243" s="25">
        <v>212</v>
      </c>
      <c r="B243" s="37" t="s">
        <v>406</v>
      </c>
      <c r="C243" s="38" t="s">
        <v>407</v>
      </c>
      <c r="D243" s="35">
        <v>1490</v>
      </c>
    </row>
    <row r="244" spans="1:4" ht="16.95" customHeight="1">
      <c r="A244" s="25">
        <v>213</v>
      </c>
      <c r="B244" s="37" t="s">
        <v>408</v>
      </c>
      <c r="C244" s="38" t="s">
        <v>409</v>
      </c>
      <c r="D244" s="35">
        <v>3940</v>
      </c>
    </row>
    <row r="245" spans="1:4" ht="16.95" customHeight="1">
      <c r="A245" s="25">
        <v>214</v>
      </c>
      <c r="B245" s="37" t="s">
        <v>410</v>
      </c>
      <c r="C245" s="38" t="s">
        <v>411</v>
      </c>
      <c r="D245" s="35">
        <v>580</v>
      </c>
    </row>
    <row r="246" spans="1:4" ht="16.95" customHeight="1">
      <c r="A246" s="25">
        <v>215</v>
      </c>
      <c r="B246" s="37" t="s">
        <v>412</v>
      </c>
      <c r="C246" s="38" t="s">
        <v>413</v>
      </c>
      <c r="D246" s="35">
        <v>390</v>
      </c>
    </row>
    <row r="247" spans="1:4" ht="16.95" customHeight="1">
      <c r="A247" s="25">
        <v>216</v>
      </c>
      <c r="B247" s="37" t="s">
        <v>414</v>
      </c>
      <c r="C247" s="38" t="s">
        <v>415</v>
      </c>
      <c r="D247" s="35">
        <v>210</v>
      </c>
    </row>
    <row r="248" spans="1:4" ht="16.95" customHeight="1">
      <c r="A248" s="25">
        <v>217</v>
      </c>
      <c r="B248" s="37" t="s">
        <v>416</v>
      </c>
      <c r="C248" s="38" t="s">
        <v>417</v>
      </c>
      <c r="D248" s="35">
        <v>790</v>
      </c>
    </row>
    <row r="249" spans="1:4" ht="16.95" customHeight="1">
      <c r="A249" s="25">
        <v>218</v>
      </c>
      <c r="B249" s="37" t="s">
        <v>418</v>
      </c>
      <c r="C249" s="38" t="s">
        <v>419</v>
      </c>
      <c r="D249" s="35">
        <v>210</v>
      </c>
    </row>
    <row r="250" spans="1:4" ht="16.95" customHeight="1">
      <c r="A250" s="25">
        <v>219</v>
      </c>
      <c r="B250" s="37" t="s">
        <v>420</v>
      </c>
      <c r="C250" s="38" t="s">
        <v>421</v>
      </c>
      <c r="D250" s="35">
        <v>580</v>
      </c>
    </row>
    <row r="251" spans="1:4" ht="16.95" customHeight="1">
      <c r="A251" s="25">
        <v>220</v>
      </c>
      <c r="B251" s="37" t="s">
        <v>422</v>
      </c>
      <c r="C251" s="38" t="s">
        <v>423</v>
      </c>
      <c r="D251" s="35">
        <v>390</v>
      </c>
    </row>
    <row r="252" spans="1:4" ht="16.95" customHeight="1">
      <c r="A252" s="25">
        <v>221</v>
      </c>
      <c r="B252" s="37" t="s">
        <v>424</v>
      </c>
      <c r="C252" s="38" t="s">
        <v>425</v>
      </c>
      <c r="D252" s="35">
        <v>210</v>
      </c>
    </row>
    <row r="253" spans="1:4" ht="16.95" customHeight="1">
      <c r="A253" s="25">
        <v>222</v>
      </c>
      <c r="B253" s="37" t="s">
        <v>426</v>
      </c>
      <c r="C253" s="38" t="s">
        <v>427</v>
      </c>
      <c r="D253" s="35">
        <v>1580</v>
      </c>
    </row>
    <row r="254" spans="1:4" ht="16.95" customHeight="1">
      <c r="A254" s="25">
        <v>223</v>
      </c>
      <c r="B254" s="37" t="s">
        <v>428</v>
      </c>
      <c r="C254" s="38" t="s">
        <v>429</v>
      </c>
      <c r="D254" s="35">
        <v>3150</v>
      </c>
    </row>
    <row r="255" spans="1:4" ht="16.95" customHeight="1">
      <c r="A255" s="25">
        <v>224</v>
      </c>
      <c r="B255" s="37" t="s">
        <v>430</v>
      </c>
      <c r="C255" s="38" t="s">
        <v>431</v>
      </c>
      <c r="D255" s="35">
        <v>790</v>
      </c>
    </row>
    <row r="256" spans="1:4" s="349" customFormat="1" ht="15.6">
      <c r="A256" s="345">
        <v>225</v>
      </c>
      <c r="B256" s="346" t="s">
        <v>432</v>
      </c>
      <c r="C256" s="347" t="s">
        <v>1447</v>
      </c>
      <c r="D256" s="348">
        <v>0</v>
      </c>
    </row>
    <row r="257" spans="1:4" ht="16.95" customHeight="1">
      <c r="A257" s="25">
        <v>226</v>
      </c>
      <c r="B257" s="37" t="s">
        <v>434</v>
      </c>
      <c r="C257" s="38" t="s">
        <v>435</v>
      </c>
      <c r="D257" s="35">
        <v>1200</v>
      </c>
    </row>
    <row r="258" spans="1:4" ht="16.95" customHeight="1">
      <c r="A258" s="25">
        <v>227</v>
      </c>
      <c r="B258" s="37" t="s">
        <v>436</v>
      </c>
      <c r="C258" s="38" t="s">
        <v>437</v>
      </c>
      <c r="D258" s="35">
        <v>5040</v>
      </c>
    </row>
    <row r="259" spans="1:4" ht="16.95" customHeight="1">
      <c r="A259" s="25">
        <v>228</v>
      </c>
      <c r="B259" s="37" t="s">
        <v>438</v>
      </c>
      <c r="C259" s="38" t="s">
        <v>439</v>
      </c>
      <c r="D259" s="35">
        <v>1160</v>
      </c>
    </row>
    <row r="260" spans="1:4" ht="16.95" customHeight="1">
      <c r="A260" s="25">
        <v>229</v>
      </c>
      <c r="B260" s="37" t="s">
        <v>440</v>
      </c>
      <c r="C260" s="38" t="s">
        <v>441</v>
      </c>
      <c r="D260" s="35">
        <v>11000</v>
      </c>
    </row>
    <row r="261" spans="1:4" ht="16.95" customHeight="1">
      <c r="A261" s="25">
        <v>230</v>
      </c>
      <c r="B261" s="37" t="s">
        <v>442</v>
      </c>
      <c r="C261" s="38" t="s">
        <v>443</v>
      </c>
      <c r="D261" s="35">
        <v>920</v>
      </c>
    </row>
    <row r="262" spans="1:4" ht="16.95" customHeight="1">
      <c r="A262" s="25">
        <v>231</v>
      </c>
      <c r="B262" s="37" t="s">
        <v>444</v>
      </c>
      <c r="C262" s="38" t="s">
        <v>445</v>
      </c>
      <c r="D262" s="35">
        <v>300</v>
      </c>
    </row>
    <row r="263" spans="1:4" ht="16.95" customHeight="1">
      <c r="A263" s="25">
        <v>232</v>
      </c>
      <c r="B263" s="37" t="s">
        <v>446</v>
      </c>
      <c r="C263" s="38" t="s">
        <v>447</v>
      </c>
      <c r="D263" s="35">
        <v>1780</v>
      </c>
    </row>
    <row r="264" spans="1:4" ht="16.95" customHeight="1">
      <c r="A264" s="25">
        <v>233</v>
      </c>
      <c r="B264" s="37" t="s">
        <v>448</v>
      </c>
      <c r="C264" s="38" t="s">
        <v>449</v>
      </c>
      <c r="D264" s="35">
        <v>990</v>
      </c>
    </row>
    <row r="265" spans="1:4" ht="16.95" customHeight="1">
      <c r="A265" s="25">
        <v>234</v>
      </c>
      <c r="B265" s="37" t="s">
        <v>450</v>
      </c>
      <c r="C265" s="38" t="s">
        <v>451</v>
      </c>
      <c r="D265" s="35">
        <v>3780</v>
      </c>
    </row>
    <row r="266" spans="1:4" ht="16.95" customHeight="1">
      <c r="A266" s="25">
        <v>235</v>
      </c>
      <c r="B266" s="37" t="s">
        <v>452</v>
      </c>
      <c r="C266" s="38" t="s">
        <v>453</v>
      </c>
      <c r="D266" s="35">
        <v>1650</v>
      </c>
    </row>
    <row r="267" spans="1:4" ht="16.95" customHeight="1">
      <c r="A267" s="25">
        <v>236</v>
      </c>
      <c r="B267" s="37" t="s">
        <v>454</v>
      </c>
      <c r="C267" s="38" t="s">
        <v>455</v>
      </c>
      <c r="D267" s="35">
        <v>110</v>
      </c>
    </row>
    <row r="268" spans="1:4" ht="16.95" customHeight="1">
      <c r="A268" s="25">
        <v>237</v>
      </c>
      <c r="B268" s="37" t="s">
        <v>456</v>
      </c>
      <c r="C268" s="38" t="s">
        <v>457</v>
      </c>
      <c r="D268" s="35">
        <v>170</v>
      </c>
    </row>
    <row r="269" spans="1:4" ht="16.95" customHeight="1">
      <c r="A269" s="25">
        <v>238</v>
      </c>
      <c r="B269" s="37" t="s">
        <v>458</v>
      </c>
      <c r="C269" s="38" t="s">
        <v>459</v>
      </c>
      <c r="D269" s="35">
        <v>390</v>
      </c>
    </row>
    <row r="270" spans="1:4" ht="16.95" customHeight="1">
      <c r="A270" s="25">
        <v>239</v>
      </c>
      <c r="B270" s="37" t="s">
        <v>460</v>
      </c>
      <c r="C270" s="38" t="s">
        <v>461</v>
      </c>
      <c r="D270" s="35">
        <v>4330</v>
      </c>
    </row>
    <row r="271" spans="1:4" ht="16.95" customHeight="1">
      <c r="A271" s="25">
        <v>240</v>
      </c>
      <c r="B271" s="37" t="s">
        <v>462</v>
      </c>
      <c r="C271" s="38" t="s">
        <v>463</v>
      </c>
      <c r="D271" s="35">
        <v>110</v>
      </c>
    </row>
    <row r="272" spans="1:4" ht="16.95" customHeight="1">
      <c r="A272" s="25">
        <v>241</v>
      </c>
      <c r="B272" s="37" t="s">
        <v>464</v>
      </c>
      <c r="C272" s="38" t="s">
        <v>465</v>
      </c>
      <c r="D272" s="35">
        <v>3150</v>
      </c>
    </row>
    <row r="273" spans="1:4" ht="16.95" customHeight="1">
      <c r="A273" s="25">
        <v>242</v>
      </c>
      <c r="B273" s="37" t="s">
        <v>466</v>
      </c>
      <c r="C273" s="38" t="s">
        <v>467</v>
      </c>
      <c r="D273" s="35">
        <v>3940</v>
      </c>
    </row>
    <row r="274" spans="1:4" ht="16.95" customHeight="1">
      <c r="A274" s="25">
        <v>243</v>
      </c>
      <c r="B274" s="37" t="s">
        <v>468</v>
      </c>
      <c r="C274" s="38" t="s">
        <v>469</v>
      </c>
      <c r="D274" s="35">
        <v>580</v>
      </c>
    </row>
    <row r="275" spans="1:4" ht="16.95" customHeight="1">
      <c r="A275" s="25">
        <v>244</v>
      </c>
      <c r="B275" s="37" t="s">
        <v>470</v>
      </c>
      <c r="C275" s="38" t="s">
        <v>471</v>
      </c>
      <c r="D275" s="35">
        <v>3150</v>
      </c>
    </row>
    <row r="276" spans="1:4" ht="16.95" customHeight="1">
      <c r="A276" s="25">
        <v>245</v>
      </c>
      <c r="B276" s="37" t="s">
        <v>472</v>
      </c>
      <c r="C276" s="38" t="s">
        <v>473</v>
      </c>
      <c r="D276" s="35">
        <v>790</v>
      </c>
    </row>
    <row r="277" spans="1:4" ht="16.95" customHeight="1">
      <c r="A277" s="25">
        <v>246</v>
      </c>
      <c r="B277" s="37" t="s">
        <v>474</v>
      </c>
      <c r="C277" s="38" t="s">
        <v>475</v>
      </c>
      <c r="D277" s="35">
        <v>80</v>
      </c>
    </row>
    <row r="278" spans="1:4" ht="16.95" customHeight="1">
      <c r="A278" s="25">
        <v>247</v>
      </c>
      <c r="B278" s="37" t="s">
        <v>476</v>
      </c>
      <c r="C278" s="38" t="s">
        <v>477</v>
      </c>
      <c r="D278" s="35">
        <v>300</v>
      </c>
    </row>
    <row r="279" spans="1:4" ht="16.95" customHeight="1">
      <c r="A279" s="25">
        <v>248</v>
      </c>
      <c r="B279" s="37" t="s">
        <v>478</v>
      </c>
      <c r="C279" s="38" t="s">
        <v>479</v>
      </c>
      <c r="D279" s="35">
        <v>580</v>
      </c>
    </row>
    <row r="280" spans="1:4" ht="16.95" customHeight="1">
      <c r="A280" s="25">
        <v>249</v>
      </c>
      <c r="B280" s="37" t="s">
        <v>480</v>
      </c>
      <c r="C280" s="38" t="s">
        <v>481</v>
      </c>
      <c r="D280" s="35">
        <v>580</v>
      </c>
    </row>
    <row r="281" spans="1:4" ht="16.95" customHeight="1">
      <c r="A281" s="25">
        <v>250</v>
      </c>
      <c r="B281" s="37" t="s">
        <v>482</v>
      </c>
      <c r="C281" s="38" t="s">
        <v>483</v>
      </c>
      <c r="D281" s="35">
        <v>580</v>
      </c>
    </row>
    <row r="282" spans="1:4" ht="16.95" customHeight="1">
      <c r="A282" s="25">
        <v>251</v>
      </c>
      <c r="B282" s="37" t="s">
        <v>484</v>
      </c>
      <c r="C282" s="38" t="s">
        <v>485</v>
      </c>
      <c r="D282" s="35">
        <v>3940</v>
      </c>
    </row>
    <row r="283" spans="1:4" ht="16.95" customHeight="1">
      <c r="A283" s="25">
        <v>252</v>
      </c>
      <c r="B283" s="37" t="s">
        <v>486</v>
      </c>
      <c r="C283" s="38" t="s">
        <v>487</v>
      </c>
      <c r="D283" s="35">
        <v>390</v>
      </c>
    </row>
    <row r="284" spans="1:4" ht="16.95" customHeight="1">
      <c r="A284" s="25">
        <v>253</v>
      </c>
      <c r="B284" s="37" t="s">
        <v>488</v>
      </c>
      <c r="C284" s="38" t="s">
        <v>489</v>
      </c>
      <c r="D284" s="35">
        <v>3150</v>
      </c>
    </row>
    <row r="285" spans="1:4" ht="16.95" customHeight="1">
      <c r="A285" s="25">
        <v>254</v>
      </c>
      <c r="B285" s="37" t="s">
        <v>430</v>
      </c>
      <c r="C285" s="38" t="s">
        <v>353</v>
      </c>
      <c r="D285" s="35">
        <v>620</v>
      </c>
    </row>
    <row r="286" spans="1:4" ht="16.95" customHeight="1">
      <c r="A286" s="25">
        <v>255</v>
      </c>
      <c r="B286" s="37" t="s">
        <v>490</v>
      </c>
      <c r="C286" s="38" t="s">
        <v>491</v>
      </c>
      <c r="D286" s="35">
        <v>130</v>
      </c>
    </row>
    <row r="287" spans="1:4" ht="16.95" customHeight="1">
      <c r="A287" s="25">
        <v>256</v>
      </c>
      <c r="B287" s="37" t="s">
        <v>492</v>
      </c>
      <c r="C287" s="38" t="s">
        <v>493</v>
      </c>
      <c r="D287" s="35">
        <v>1870</v>
      </c>
    </row>
    <row r="288" spans="1:4" ht="16.95" customHeight="1">
      <c r="A288" s="25">
        <v>257</v>
      </c>
      <c r="B288" s="37" t="s">
        <v>494</v>
      </c>
      <c r="C288" s="38" t="s">
        <v>495</v>
      </c>
      <c r="D288" s="35">
        <v>960</v>
      </c>
    </row>
    <row r="289" spans="1:4" ht="16.95" customHeight="1">
      <c r="A289" s="25">
        <v>258</v>
      </c>
      <c r="B289" s="37" t="s">
        <v>496</v>
      </c>
      <c r="C289" s="38" t="s">
        <v>497</v>
      </c>
      <c r="D289" s="35">
        <v>390</v>
      </c>
    </row>
    <row r="290" spans="1:4" ht="16.95" customHeight="1">
      <c r="A290" s="25">
        <v>259</v>
      </c>
      <c r="B290" s="37" t="s">
        <v>498</v>
      </c>
      <c r="C290" s="38" t="s">
        <v>499</v>
      </c>
      <c r="D290" s="35">
        <v>1080</v>
      </c>
    </row>
    <row r="291" spans="1:4" ht="16.95" customHeight="1">
      <c r="A291" s="25">
        <v>260</v>
      </c>
      <c r="B291" s="37" t="s">
        <v>500</v>
      </c>
      <c r="C291" s="38" t="s">
        <v>501</v>
      </c>
      <c r="D291" s="35">
        <v>890</v>
      </c>
    </row>
    <row r="292" spans="1:4" ht="16.95" customHeight="1">
      <c r="A292" s="25">
        <v>261</v>
      </c>
      <c r="B292" s="37" t="s">
        <v>502</v>
      </c>
      <c r="C292" s="38" t="s">
        <v>503</v>
      </c>
      <c r="D292" s="35">
        <v>1380</v>
      </c>
    </row>
    <row r="293" spans="1:4" ht="16.95" customHeight="1">
      <c r="A293" s="25">
        <v>262</v>
      </c>
      <c r="B293" s="37" t="s">
        <v>504</v>
      </c>
      <c r="C293" s="38" t="s">
        <v>505</v>
      </c>
      <c r="D293" s="35">
        <v>1970</v>
      </c>
    </row>
    <row r="294" spans="1:4" ht="16.95" customHeight="1">
      <c r="A294" s="25">
        <v>263</v>
      </c>
      <c r="B294" s="37" t="s">
        <v>506</v>
      </c>
      <c r="C294" s="38" t="s">
        <v>507</v>
      </c>
      <c r="D294" s="35">
        <v>990</v>
      </c>
    </row>
    <row r="295" spans="1:4" ht="16.95" customHeight="1">
      <c r="A295" s="25">
        <v>264</v>
      </c>
      <c r="B295" s="37" t="s">
        <v>508</v>
      </c>
      <c r="C295" s="38" t="s">
        <v>509</v>
      </c>
      <c r="D295" s="35">
        <v>8020</v>
      </c>
    </row>
    <row r="296" spans="1:4" ht="16.95" customHeight="1">
      <c r="A296" s="25">
        <v>265</v>
      </c>
      <c r="B296" s="37" t="s">
        <v>510</v>
      </c>
      <c r="C296" s="38" t="s">
        <v>511</v>
      </c>
      <c r="D296" s="35">
        <v>1840</v>
      </c>
    </row>
    <row r="297" spans="1:4" ht="16.95" customHeight="1">
      <c r="A297" s="25">
        <v>266</v>
      </c>
      <c r="B297" s="37" t="s">
        <v>512</v>
      </c>
      <c r="C297" s="38" t="s">
        <v>513</v>
      </c>
      <c r="D297" s="35">
        <v>1650</v>
      </c>
    </row>
    <row r="298" spans="1:4" ht="16.95" customHeight="1">
      <c r="A298" s="25">
        <v>267</v>
      </c>
      <c r="B298" s="37" t="s">
        <v>514</v>
      </c>
      <c r="C298" s="38" t="s">
        <v>515</v>
      </c>
      <c r="D298" s="35">
        <v>1660</v>
      </c>
    </row>
    <row r="299" spans="1:4" ht="16.95" customHeight="1">
      <c r="A299" s="25">
        <v>268</v>
      </c>
      <c r="B299" s="37" t="s">
        <v>516</v>
      </c>
      <c r="C299" s="38" t="s">
        <v>517</v>
      </c>
      <c r="D299" s="35">
        <v>790</v>
      </c>
    </row>
    <row r="300" spans="1:4" ht="16.95" customHeight="1">
      <c r="A300" s="25">
        <v>269</v>
      </c>
      <c r="B300" s="37" t="s">
        <v>518</v>
      </c>
      <c r="C300" s="38" t="s">
        <v>519</v>
      </c>
      <c r="D300" s="35">
        <v>6880</v>
      </c>
    </row>
    <row r="301" spans="1:4" ht="16.95" customHeight="1">
      <c r="A301" s="25">
        <v>270</v>
      </c>
      <c r="B301" s="37" t="s">
        <v>520</v>
      </c>
      <c r="C301" s="38" t="s">
        <v>521</v>
      </c>
      <c r="D301" s="35">
        <v>1490</v>
      </c>
    </row>
    <row r="302" spans="1:4" ht="16.95" customHeight="1">
      <c r="A302" s="25">
        <v>271</v>
      </c>
      <c r="B302" s="37" t="s">
        <v>522</v>
      </c>
      <c r="C302" s="38" t="s">
        <v>523</v>
      </c>
      <c r="D302" s="35">
        <v>580</v>
      </c>
    </row>
    <row r="303" spans="1:4" ht="16.95" customHeight="1">
      <c r="A303" s="25">
        <v>272</v>
      </c>
      <c r="B303" s="37" t="s">
        <v>524</v>
      </c>
      <c r="C303" s="38" t="s">
        <v>525</v>
      </c>
      <c r="D303" s="35">
        <v>580</v>
      </c>
    </row>
    <row r="304" spans="1:4" ht="16.95" customHeight="1">
      <c r="A304" s="25">
        <v>273</v>
      </c>
      <c r="B304" s="37" t="s">
        <v>526</v>
      </c>
      <c r="C304" s="38" t="s">
        <v>527</v>
      </c>
      <c r="D304" s="35">
        <v>890</v>
      </c>
    </row>
    <row r="305" spans="1:4" ht="16.95" customHeight="1">
      <c r="A305" s="25">
        <v>274</v>
      </c>
      <c r="B305" s="37" t="s">
        <v>528</v>
      </c>
      <c r="C305" s="38" t="s">
        <v>529</v>
      </c>
      <c r="D305" s="35">
        <v>790</v>
      </c>
    </row>
    <row r="306" spans="1:4" ht="16.95" customHeight="1">
      <c r="A306" s="25">
        <v>275</v>
      </c>
      <c r="B306" s="37" t="s">
        <v>530</v>
      </c>
      <c r="C306" s="38" t="s">
        <v>531</v>
      </c>
      <c r="D306" s="35">
        <v>890</v>
      </c>
    </row>
    <row r="307" spans="1:4" ht="16.95" customHeight="1">
      <c r="A307" s="25">
        <v>276</v>
      </c>
      <c r="B307" s="37" t="s">
        <v>532</v>
      </c>
      <c r="C307" s="38" t="s">
        <v>533</v>
      </c>
      <c r="D307" s="35">
        <v>990</v>
      </c>
    </row>
    <row r="308" spans="1:4" ht="16.95" customHeight="1">
      <c r="A308" s="25">
        <v>277</v>
      </c>
      <c r="B308" s="37" t="s">
        <v>534</v>
      </c>
      <c r="C308" s="38" t="s">
        <v>535</v>
      </c>
      <c r="D308" s="35">
        <v>1080</v>
      </c>
    </row>
    <row r="309" spans="1:4" ht="16.95" customHeight="1">
      <c r="A309" s="25">
        <v>278</v>
      </c>
      <c r="B309" s="37" t="s">
        <v>536</v>
      </c>
      <c r="C309" s="38" t="s">
        <v>537</v>
      </c>
      <c r="D309" s="35">
        <v>990</v>
      </c>
    </row>
    <row r="310" spans="1:4" ht="16.95" customHeight="1">
      <c r="A310" s="25">
        <v>279</v>
      </c>
      <c r="B310" s="37" t="s">
        <v>538</v>
      </c>
      <c r="C310" s="38" t="s">
        <v>539</v>
      </c>
      <c r="D310" s="35">
        <v>790</v>
      </c>
    </row>
    <row r="311" spans="1:4" ht="16.95" customHeight="1">
      <c r="A311" s="25">
        <v>280</v>
      </c>
      <c r="B311" s="37" t="s">
        <v>540</v>
      </c>
      <c r="C311" s="38" t="s">
        <v>541</v>
      </c>
      <c r="D311" s="35">
        <v>790</v>
      </c>
    </row>
    <row r="312" spans="1:4" ht="16.95" customHeight="1">
      <c r="A312" s="25">
        <v>281</v>
      </c>
      <c r="B312" s="37" t="s">
        <v>542</v>
      </c>
      <c r="C312" s="38" t="s">
        <v>543</v>
      </c>
      <c r="D312" s="35">
        <v>680</v>
      </c>
    </row>
    <row r="313" spans="1:4" ht="16.95" customHeight="1">
      <c r="A313" s="25">
        <v>282</v>
      </c>
      <c r="B313" s="37" t="s">
        <v>544</v>
      </c>
      <c r="C313" s="38" t="s">
        <v>545</v>
      </c>
      <c r="D313" s="35">
        <v>620</v>
      </c>
    </row>
    <row r="314" spans="1:4" ht="16.95" customHeight="1">
      <c r="A314" s="25">
        <v>283</v>
      </c>
      <c r="B314" s="37" t="s">
        <v>546</v>
      </c>
      <c r="C314" s="38" t="s">
        <v>547</v>
      </c>
      <c r="D314" s="35">
        <v>310</v>
      </c>
    </row>
    <row r="315" spans="1:4" ht="16.95" customHeight="1">
      <c r="A315" s="25">
        <v>284</v>
      </c>
      <c r="B315" s="37" t="s">
        <v>548</v>
      </c>
      <c r="C315" s="38" t="s">
        <v>549</v>
      </c>
      <c r="D315" s="35">
        <v>300</v>
      </c>
    </row>
    <row r="316" spans="1:4" ht="16.95" customHeight="1">
      <c r="A316" s="25">
        <v>285</v>
      </c>
      <c r="B316" s="37" t="s">
        <v>550</v>
      </c>
      <c r="C316" s="38" t="s">
        <v>551</v>
      </c>
      <c r="D316" s="35">
        <v>170</v>
      </c>
    </row>
    <row r="317" spans="1:4" ht="16.95" customHeight="1">
      <c r="A317" s="25">
        <v>286</v>
      </c>
      <c r="B317" s="37" t="s">
        <v>552</v>
      </c>
      <c r="C317" s="38" t="s">
        <v>553</v>
      </c>
      <c r="D317" s="35">
        <v>170</v>
      </c>
    </row>
    <row r="318" spans="1:4" ht="16.95" customHeight="1">
      <c r="A318" s="25">
        <v>287</v>
      </c>
      <c r="B318" s="37" t="s">
        <v>554</v>
      </c>
      <c r="C318" s="38" t="s">
        <v>555</v>
      </c>
      <c r="D318" s="35">
        <v>2020</v>
      </c>
    </row>
    <row r="319" spans="1:4" ht="16.95" customHeight="1">
      <c r="A319" s="25"/>
      <c r="B319" s="26"/>
      <c r="C319" s="27" t="s">
        <v>556</v>
      </c>
      <c r="D319" s="35">
        <v>0</v>
      </c>
    </row>
    <row r="320" spans="1:4" ht="16.95" customHeight="1">
      <c r="A320" s="25">
        <v>288</v>
      </c>
      <c r="B320" s="37" t="s">
        <v>557</v>
      </c>
      <c r="C320" s="38" t="s">
        <v>635</v>
      </c>
      <c r="D320" s="35">
        <v>250</v>
      </c>
    </row>
    <row r="321" spans="1:4" ht="16.95" customHeight="1">
      <c r="A321" s="25">
        <v>289</v>
      </c>
      <c r="B321" s="37" t="s">
        <v>47</v>
      </c>
      <c r="C321" s="38" t="s">
        <v>636</v>
      </c>
      <c r="D321" s="35">
        <v>120</v>
      </c>
    </row>
    <row r="322" spans="1:4" ht="16.95" customHeight="1">
      <c r="A322" s="25">
        <v>290</v>
      </c>
      <c r="B322" s="37" t="s">
        <v>45</v>
      </c>
      <c r="C322" s="38" t="s">
        <v>637</v>
      </c>
      <c r="D322" s="35">
        <v>860</v>
      </c>
    </row>
    <row r="323" spans="1:4" ht="16.95" customHeight="1">
      <c r="A323" s="25" t="s">
        <v>629</v>
      </c>
      <c r="B323" s="37" t="s">
        <v>45</v>
      </c>
      <c r="C323" s="38" t="s">
        <v>812</v>
      </c>
      <c r="D323" s="35">
        <v>230</v>
      </c>
    </row>
    <row r="324" spans="1:4" ht="16.95" customHeight="1">
      <c r="A324" s="25" t="s">
        <v>631</v>
      </c>
      <c r="B324" s="37" t="s">
        <v>627</v>
      </c>
      <c r="C324" s="38" t="s">
        <v>808</v>
      </c>
      <c r="D324" s="35">
        <v>2400</v>
      </c>
    </row>
    <row r="325" spans="1:4" ht="16.95" customHeight="1">
      <c r="A325" s="25" t="s">
        <v>632</v>
      </c>
      <c r="B325" s="37" t="s">
        <v>628</v>
      </c>
      <c r="C325" s="38" t="s">
        <v>809</v>
      </c>
      <c r="D325" s="35">
        <v>2400</v>
      </c>
    </row>
    <row r="326" spans="1:4" ht="16.95" customHeight="1">
      <c r="A326" s="25" t="s">
        <v>633</v>
      </c>
      <c r="B326" s="37" t="s">
        <v>626</v>
      </c>
      <c r="C326" s="38" t="s">
        <v>810</v>
      </c>
      <c r="D326" s="35">
        <v>2400</v>
      </c>
    </row>
    <row r="327" spans="1:4" ht="16.95" customHeight="1">
      <c r="A327" s="25" t="s">
        <v>651</v>
      </c>
      <c r="B327" s="37" t="s">
        <v>652</v>
      </c>
      <c r="C327" s="38" t="s">
        <v>811</v>
      </c>
      <c r="D327" s="35">
        <v>1210</v>
      </c>
    </row>
    <row r="328" spans="1:4" ht="16.95" customHeight="1">
      <c r="A328" s="25"/>
      <c r="B328" s="26"/>
      <c r="C328" s="27" t="s">
        <v>558</v>
      </c>
      <c r="D328" s="35">
        <v>0</v>
      </c>
    </row>
    <row r="329" spans="1:4" ht="16.95" customHeight="1">
      <c r="A329" s="25">
        <v>291</v>
      </c>
      <c r="B329" s="37" t="s">
        <v>559</v>
      </c>
      <c r="C329" s="38" t="s">
        <v>560</v>
      </c>
      <c r="D329" s="35">
        <v>180</v>
      </c>
    </row>
    <row r="330" spans="1:4" ht="16.95" customHeight="1">
      <c r="A330" s="25">
        <v>292</v>
      </c>
      <c r="B330" s="37" t="s">
        <v>561</v>
      </c>
      <c r="C330" s="38" t="s">
        <v>562</v>
      </c>
      <c r="D330" s="35">
        <v>180</v>
      </c>
    </row>
    <row r="331" spans="1:4" ht="16.95" customHeight="1">
      <c r="A331" s="25">
        <v>293</v>
      </c>
      <c r="B331" s="37" t="s">
        <v>563</v>
      </c>
      <c r="C331" s="38" t="s">
        <v>564</v>
      </c>
      <c r="D331" s="35">
        <v>180</v>
      </c>
    </row>
    <row r="332" spans="1:4" ht="16.95" customHeight="1">
      <c r="A332" s="25">
        <v>294</v>
      </c>
      <c r="B332" s="37" t="s">
        <v>565</v>
      </c>
      <c r="C332" s="38" t="s">
        <v>566</v>
      </c>
      <c r="D332" s="35">
        <v>90</v>
      </c>
    </row>
    <row r="333" spans="1:4" ht="16.95" customHeight="1">
      <c r="A333" s="25">
        <v>295</v>
      </c>
      <c r="B333" s="37" t="s">
        <v>567</v>
      </c>
      <c r="C333" s="38" t="s">
        <v>568</v>
      </c>
      <c r="D333" s="35">
        <v>530</v>
      </c>
    </row>
    <row r="334" spans="1:4" ht="16.95" customHeight="1">
      <c r="A334" s="25">
        <v>296</v>
      </c>
      <c r="B334" s="37" t="s">
        <v>569</v>
      </c>
      <c r="C334" s="38" t="s">
        <v>570</v>
      </c>
      <c r="D334" s="35">
        <v>180</v>
      </c>
    </row>
    <row r="335" spans="1:4" ht="16.95" customHeight="1">
      <c r="A335" s="25"/>
      <c r="B335" s="26"/>
      <c r="C335" s="27" t="s">
        <v>644</v>
      </c>
      <c r="D335" s="35">
        <v>0</v>
      </c>
    </row>
    <row r="336" spans="1:4" ht="16.95" customHeight="1">
      <c r="A336" s="25">
        <v>297</v>
      </c>
      <c r="B336" s="5"/>
      <c r="C336" s="38" t="s">
        <v>645</v>
      </c>
      <c r="D336" s="35">
        <v>24340</v>
      </c>
    </row>
    <row r="337" spans="1:4" ht="16.95" customHeight="1">
      <c r="A337" s="25">
        <v>298</v>
      </c>
      <c r="B337" s="5"/>
      <c r="C337" s="38" t="s">
        <v>571</v>
      </c>
      <c r="D337" s="35">
        <v>360</v>
      </c>
    </row>
    <row r="338" spans="1:4" ht="31.95" customHeight="1">
      <c r="A338" s="25">
        <v>299</v>
      </c>
      <c r="B338" s="5"/>
      <c r="C338" s="38" t="s">
        <v>604</v>
      </c>
      <c r="D338" s="35">
        <v>10770</v>
      </c>
    </row>
    <row r="339" spans="1:4" ht="16.95" customHeight="1">
      <c r="A339" s="25">
        <v>300</v>
      </c>
      <c r="B339" s="5"/>
      <c r="C339" s="47" t="s">
        <v>572</v>
      </c>
      <c r="D339" s="35">
        <v>150</v>
      </c>
    </row>
    <row r="340" spans="1:4" ht="16.95" customHeight="1">
      <c r="A340" s="25">
        <v>301</v>
      </c>
      <c r="B340" s="5"/>
      <c r="C340" s="47" t="s">
        <v>587</v>
      </c>
      <c r="D340" s="35">
        <v>60</v>
      </c>
    </row>
    <row r="341" spans="1:4" ht="16.95" customHeight="1">
      <c r="A341" s="25">
        <v>302</v>
      </c>
      <c r="B341" s="5"/>
      <c r="C341" s="47" t="s">
        <v>619</v>
      </c>
      <c r="D341" s="35">
        <v>20</v>
      </c>
    </row>
    <row r="342" spans="1:4" ht="16.95" customHeight="1">
      <c r="A342" s="25">
        <v>303</v>
      </c>
      <c r="B342" s="5"/>
      <c r="C342" s="38" t="s">
        <v>573</v>
      </c>
      <c r="D342" s="35">
        <v>30</v>
      </c>
    </row>
    <row r="343" spans="1:4" ht="16.95" customHeight="1">
      <c r="A343" s="25">
        <v>304</v>
      </c>
      <c r="B343" s="5"/>
      <c r="C343" s="47" t="s">
        <v>574</v>
      </c>
      <c r="D343" s="35">
        <v>160</v>
      </c>
    </row>
    <row r="344" spans="1:4" ht="16.95" customHeight="1">
      <c r="A344" s="25">
        <v>305</v>
      </c>
      <c r="B344" s="5"/>
      <c r="C344" s="47" t="s">
        <v>979</v>
      </c>
      <c r="D344" s="35">
        <v>170</v>
      </c>
    </row>
    <row r="345" spans="1:4" ht="16.95" customHeight="1">
      <c r="A345" s="25">
        <v>306</v>
      </c>
      <c r="B345" s="5"/>
      <c r="C345" s="38" t="s">
        <v>1444</v>
      </c>
      <c r="D345" s="35"/>
    </row>
    <row r="346" spans="1:4" ht="16.95" customHeight="1">
      <c r="A346" s="25">
        <v>307</v>
      </c>
      <c r="B346" s="5"/>
      <c r="C346" s="47" t="s">
        <v>576</v>
      </c>
      <c r="D346" s="35">
        <v>70</v>
      </c>
    </row>
    <row r="347" spans="1:4" ht="16.95" customHeight="1">
      <c r="A347" s="25">
        <v>308</v>
      </c>
      <c r="B347" s="5"/>
      <c r="C347" s="47" t="s">
        <v>579</v>
      </c>
      <c r="D347" s="35">
        <v>30</v>
      </c>
    </row>
    <row r="348" spans="1:4" ht="16.95" customHeight="1">
      <c r="A348" s="25">
        <v>309</v>
      </c>
      <c r="B348" s="5"/>
      <c r="C348" s="38" t="s">
        <v>1445</v>
      </c>
      <c r="D348" s="35">
        <v>0</v>
      </c>
    </row>
    <row r="349" spans="1:4" ht="18" customHeight="1">
      <c r="A349" s="25" t="s">
        <v>653</v>
      </c>
      <c r="B349" s="5"/>
      <c r="C349" s="47" t="s">
        <v>654</v>
      </c>
      <c r="D349" s="35">
        <v>60</v>
      </c>
    </row>
    <row r="350" spans="1:4" ht="16.95" customHeight="1">
      <c r="A350" s="25">
        <v>310</v>
      </c>
      <c r="B350" s="5"/>
      <c r="C350" s="47" t="s">
        <v>578</v>
      </c>
      <c r="D350" s="35">
        <v>30</v>
      </c>
    </row>
    <row r="351" spans="1:4" ht="16.95" customHeight="1">
      <c r="A351" s="25">
        <v>311</v>
      </c>
      <c r="B351" s="5"/>
      <c r="C351" s="47" t="s">
        <v>577</v>
      </c>
      <c r="D351" s="35">
        <v>30</v>
      </c>
    </row>
    <row r="352" spans="1:4" ht="16.95" customHeight="1">
      <c r="A352" s="25">
        <v>312</v>
      </c>
      <c r="B352" s="5"/>
      <c r="C352" s="47" t="s">
        <v>580</v>
      </c>
      <c r="D352" s="35">
        <v>40</v>
      </c>
    </row>
    <row r="353" spans="1:4" ht="15.6" customHeight="1">
      <c r="A353" s="25">
        <v>313</v>
      </c>
      <c r="B353" s="5"/>
      <c r="C353" s="47" t="s">
        <v>1446</v>
      </c>
      <c r="D353" s="35">
        <v>0</v>
      </c>
    </row>
    <row r="354" spans="1:4" ht="16.95" customHeight="1">
      <c r="A354" s="25">
        <v>314</v>
      </c>
      <c r="B354" s="5"/>
      <c r="C354" s="47" t="s">
        <v>598</v>
      </c>
      <c r="D354" s="35">
        <v>10</v>
      </c>
    </row>
    <row r="355" spans="1:4" ht="16.95" customHeight="1">
      <c r="A355" s="25">
        <v>315</v>
      </c>
      <c r="B355" s="5"/>
      <c r="C355" s="47" t="s">
        <v>599</v>
      </c>
      <c r="D355" s="35">
        <v>120</v>
      </c>
    </row>
    <row r="356" spans="1:4" ht="16.95" customHeight="1">
      <c r="A356" s="25">
        <v>316</v>
      </c>
      <c r="B356" s="5"/>
      <c r="C356" s="47" t="s">
        <v>600</v>
      </c>
      <c r="D356" s="35">
        <v>130</v>
      </c>
    </row>
    <row r="357" spans="1:4" ht="16.95" customHeight="1">
      <c r="A357" s="25">
        <v>317</v>
      </c>
      <c r="B357" s="5"/>
      <c r="C357" s="47" t="s">
        <v>601</v>
      </c>
      <c r="D357" s="35">
        <v>100</v>
      </c>
    </row>
    <row r="358" spans="1:4" ht="16.95" customHeight="1">
      <c r="A358" s="25">
        <v>318</v>
      </c>
      <c r="B358" s="5"/>
      <c r="C358" s="47" t="s">
        <v>581</v>
      </c>
      <c r="D358" s="35">
        <v>70</v>
      </c>
    </row>
    <row r="359" spans="1:4" ht="16.95" customHeight="1">
      <c r="A359" s="25">
        <v>319</v>
      </c>
      <c r="B359" s="5"/>
      <c r="C359" s="47" t="s">
        <v>582</v>
      </c>
      <c r="D359" s="35">
        <v>120</v>
      </c>
    </row>
    <row r="360" spans="1:4" ht="16.95" customHeight="1">
      <c r="A360" s="25">
        <v>320</v>
      </c>
      <c r="B360" s="5"/>
      <c r="C360" s="47" t="s">
        <v>583</v>
      </c>
      <c r="D360" s="35">
        <v>130</v>
      </c>
    </row>
    <row r="361" spans="1:4" ht="16.95" customHeight="1">
      <c r="A361" s="25">
        <v>321</v>
      </c>
      <c r="B361" s="5"/>
      <c r="C361" s="47" t="s">
        <v>584</v>
      </c>
      <c r="D361" s="35">
        <v>130</v>
      </c>
    </row>
    <row r="362" spans="1:4" ht="16.95" customHeight="1">
      <c r="A362" s="25">
        <v>322</v>
      </c>
      <c r="B362" s="5"/>
      <c r="C362" s="47" t="s">
        <v>585</v>
      </c>
      <c r="D362" s="35">
        <v>110</v>
      </c>
    </row>
    <row r="363" spans="1:4" ht="16.95" customHeight="1">
      <c r="A363" s="25">
        <v>323</v>
      </c>
      <c r="B363" s="5"/>
      <c r="C363" s="38" t="s">
        <v>602</v>
      </c>
      <c r="D363" s="35">
        <v>3080</v>
      </c>
    </row>
    <row r="364" spans="1:4" ht="16.95" customHeight="1">
      <c r="A364" s="25">
        <v>324</v>
      </c>
      <c r="B364" s="5"/>
      <c r="C364" s="47" t="s">
        <v>586</v>
      </c>
      <c r="D364" s="35">
        <v>310</v>
      </c>
    </row>
    <row r="365" spans="1:4" ht="16.95" customHeight="1">
      <c r="A365" s="25">
        <v>325</v>
      </c>
      <c r="B365" s="5"/>
      <c r="C365" s="47" t="s">
        <v>603</v>
      </c>
      <c r="D365" s="35">
        <v>480</v>
      </c>
    </row>
    <row r="366" spans="1:4" ht="16.95" customHeight="1">
      <c r="A366" s="25">
        <v>326</v>
      </c>
      <c r="B366" s="5"/>
      <c r="C366" s="47" t="s">
        <v>595</v>
      </c>
      <c r="D366" s="35">
        <v>120</v>
      </c>
    </row>
    <row r="367" spans="1:4" ht="16.95" customHeight="1">
      <c r="A367" s="25">
        <v>327</v>
      </c>
      <c r="B367" s="5"/>
      <c r="C367" s="47" t="s">
        <v>588</v>
      </c>
      <c r="D367" s="35">
        <v>80</v>
      </c>
    </row>
    <row r="368" spans="1:4" ht="16.95" customHeight="1">
      <c r="A368" s="25">
        <v>328</v>
      </c>
      <c r="B368" s="5"/>
      <c r="C368" s="47" t="s">
        <v>589</v>
      </c>
      <c r="D368" s="35">
        <v>10</v>
      </c>
    </row>
    <row r="369" spans="1:5" ht="16.95" customHeight="1">
      <c r="A369" s="25">
        <v>329</v>
      </c>
      <c r="B369" s="5"/>
      <c r="C369" s="47" t="s">
        <v>592</v>
      </c>
      <c r="D369" s="35">
        <v>2820</v>
      </c>
    </row>
    <row r="370" spans="1:5" ht="16.95" customHeight="1">
      <c r="A370" s="25">
        <v>330</v>
      </c>
      <c r="B370" s="5"/>
      <c r="C370" s="47" t="s">
        <v>591</v>
      </c>
      <c r="D370" s="35">
        <v>80</v>
      </c>
    </row>
    <row r="371" spans="1:5" ht="16.95" customHeight="1">
      <c r="A371" s="25">
        <v>331</v>
      </c>
      <c r="B371" s="5"/>
      <c r="C371" s="47" t="s">
        <v>590</v>
      </c>
      <c r="D371" s="35">
        <v>350</v>
      </c>
    </row>
    <row r="372" spans="1:5" ht="16.95" customHeight="1">
      <c r="A372" s="25">
        <v>332</v>
      </c>
      <c r="B372" s="5"/>
      <c r="C372" s="47" t="s">
        <v>990</v>
      </c>
      <c r="D372" s="35">
        <v>60</v>
      </c>
    </row>
    <row r="373" spans="1:5" ht="16.95" customHeight="1">
      <c r="A373" s="25">
        <v>333</v>
      </c>
      <c r="B373" s="5"/>
      <c r="C373" s="47" t="s">
        <v>634</v>
      </c>
      <c r="D373" s="35">
        <v>390</v>
      </c>
    </row>
    <row r="374" spans="1:5" ht="16.95" customHeight="1">
      <c r="A374" s="25">
        <v>334</v>
      </c>
      <c r="B374" s="5"/>
      <c r="C374" s="47" t="s">
        <v>643</v>
      </c>
      <c r="D374" s="35">
        <v>130</v>
      </c>
    </row>
    <row r="375" spans="1:5" ht="16.95" customHeight="1">
      <c r="A375" s="25">
        <v>335</v>
      </c>
      <c r="B375" s="5"/>
      <c r="C375" s="38" t="s">
        <v>594</v>
      </c>
      <c r="D375" s="35">
        <v>620</v>
      </c>
    </row>
    <row r="376" spans="1:5" ht="16.95" customHeight="1">
      <c r="A376" s="25">
        <v>336</v>
      </c>
      <c r="B376" s="5"/>
      <c r="C376" s="38" t="s">
        <v>1014</v>
      </c>
      <c r="D376" s="35">
        <v>1120</v>
      </c>
      <c r="E376" s="251"/>
    </row>
    <row r="377" spans="1:5" ht="16.95" customHeight="1">
      <c r="A377" s="25">
        <v>337</v>
      </c>
      <c r="B377" s="5"/>
      <c r="C377" s="38"/>
      <c r="D377" s="35"/>
    </row>
    <row r="378" spans="1:5" ht="31.2" customHeight="1">
      <c r="A378" s="25" t="s">
        <v>1305</v>
      </c>
      <c r="B378" s="5"/>
      <c r="C378" s="38" t="s">
        <v>1341</v>
      </c>
      <c r="D378" s="35">
        <v>1140</v>
      </c>
    </row>
    <row r="379" spans="1:5" ht="16.95" customHeight="1">
      <c r="A379" s="25" t="s">
        <v>655</v>
      </c>
      <c r="B379" s="5"/>
      <c r="C379" s="47"/>
      <c r="D379" s="35"/>
    </row>
    <row r="380" spans="1:5" ht="48.6" customHeight="1">
      <c r="A380" s="25" t="s">
        <v>1306</v>
      </c>
      <c r="B380" s="5"/>
      <c r="C380" s="47" t="s">
        <v>1340</v>
      </c>
      <c r="D380" s="35">
        <v>310</v>
      </c>
    </row>
    <row r="381" spans="1:5" ht="16.95" customHeight="1">
      <c r="A381" s="25">
        <v>338</v>
      </c>
      <c r="B381" s="5"/>
      <c r="C381" s="38" t="s">
        <v>593</v>
      </c>
      <c r="D381" s="35">
        <v>890</v>
      </c>
    </row>
    <row r="382" spans="1:5" ht="16.95" customHeight="1">
      <c r="A382" s="25">
        <v>344</v>
      </c>
      <c r="B382" s="5"/>
      <c r="C382" s="47" t="s">
        <v>697</v>
      </c>
      <c r="D382" s="35">
        <v>900</v>
      </c>
    </row>
    <row r="383" spans="1:5" ht="16.95" customHeight="1">
      <c r="A383" s="25">
        <v>345</v>
      </c>
      <c r="B383" s="5"/>
      <c r="C383" s="47" t="s">
        <v>698</v>
      </c>
      <c r="D383" s="35">
        <v>1800</v>
      </c>
    </row>
    <row r="384" spans="1:5" ht="16.95" customHeight="1">
      <c r="A384" s="25">
        <v>346</v>
      </c>
      <c r="B384" s="5"/>
      <c r="C384" s="47" t="s">
        <v>699</v>
      </c>
      <c r="D384" s="35">
        <v>2700</v>
      </c>
    </row>
    <row r="385" spans="1:4" ht="16.95" customHeight="1">
      <c r="A385" s="25">
        <v>347</v>
      </c>
      <c r="B385" s="5"/>
      <c r="C385" s="47" t="s">
        <v>700</v>
      </c>
      <c r="D385" s="35">
        <v>5400</v>
      </c>
    </row>
    <row r="386" spans="1:4" ht="16.95" customHeight="1">
      <c r="A386" s="25">
        <v>348</v>
      </c>
      <c r="B386" s="5"/>
      <c r="C386" s="47" t="s">
        <v>701</v>
      </c>
      <c r="D386" s="35">
        <v>4500</v>
      </c>
    </row>
    <row r="387" spans="1:4" ht="16.95" customHeight="1">
      <c r="A387" s="25">
        <v>349</v>
      </c>
      <c r="B387" s="5"/>
      <c r="C387" s="47" t="s">
        <v>738</v>
      </c>
      <c r="D387" s="35">
        <v>1350</v>
      </c>
    </row>
    <row r="388" spans="1:4" ht="16.95" customHeight="1">
      <c r="A388" s="25">
        <v>350</v>
      </c>
      <c r="B388" s="5"/>
      <c r="C388" s="47" t="s">
        <v>739</v>
      </c>
      <c r="D388" s="35">
        <v>2700</v>
      </c>
    </row>
    <row r="389" spans="1:4" ht="16.95" customHeight="1">
      <c r="A389" s="25">
        <v>351</v>
      </c>
      <c r="B389" s="5"/>
      <c r="C389" s="47" t="s">
        <v>740</v>
      </c>
      <c r="D389" s="35">
        <v>4500</v>
      </c>
    </row>
    <row r="390" spans="1:4" ht="16.95" customHeight="1">
      <c r="A390" s="25">
        <v>352</v>
      </c>
      <c r="B390" s="5"/>
      <c r="C390" s="47" t="s">
        <v>741</v>
      </c>
      <c r="D390" s="35">
        <v>8100</v>
      </c>
    </row>
    <row r="391" spans="1:4" ht="16.95" customHeight="1">
      <c r="A391" s="25">
        <v>353</v>
      </c>
      <c r="B391" s="5"/>
      <c r="C391" s="47" t="s">
        <v>742</v>
      </c>
      <c r="D391" s="35">
        <v>6750</v>
      </c>
    </row>
    <row r="392" spans="1:4" ht="16.95" customHeight="1">
      <c r="A392" s="25">
        <v>359</v>
      </c>
      <c r="B392" s="5"/>
      <c r="C392" s="47" t="s">
        <v>702</v>
      </c>
      <c r="D392" s="35">
        <v>620</v>
      </c>
    </row>
    <row r="393" spans="1:4" ht="16.95" customHeight="1">
      <c r="A393" s="25">
        <v>360</v>
      </c>
      <c r="B393" s="5"/>
      <c r="C393" s="47" t="s">
        <v>703</v>
      </c>
      <c r="D393" s="35">
        <v>1240</v>
      </c>
    </row>
    <row r="394" spans="1:4" ht="16.95" customHeight="1">
      <c r="A394" s="25">
        <v>361</v>
      </c>
      <c r="B394" s="5"/>
      <c r="C394" s="47" t="s">
        <v>704</v>
      </c>
      <c r="D394" s="35">
        <v>1860</v>
      </c>
    </row>
    <row r="395" spans="1:4" ht="16.95" customHeight="1">
      <c r="A395" s="25">
        <v>362</v>
      </c>
      <c r="B395" s="5"/>
      <c r="C395" s="47" t="s">
        <v>705</v>
      </c>
      <c r="D395" s="35">
        <v>3720</v>
      </c>
    </row>
    <row r="396" spans="1:4" ht="16.95" customHeight="1">
      <c r="A396" s="25">
        <v>363</v>
      </c>
      <c r="B396" s="5"/>
      <c r="C396" s="47" t="s">
        <v>706</v>
      </c>
      <c r="D396" s="35">
        <v>3100</v>
      </c>
    </row>
    <row r="397" spans="1:4" ht="16.95" customHeight="1">
      <c r="A397" s="25">
        <v>364</v>
      </c>
      <c r="B397" s="5"/>
      <c r="C397" s="47" t="s">
        <v>743</v>
      </c>
      <c r="D397" s="35">
        <v>930</v>
      </c>
    </row>
    <row r="398" spans="1:4" ht="16.95" customHeight="1">
      <c r="A398" s="25">
        <v>365</v>
      </c>
      <c r="B398" s="5"/>
      <c r="C398" s="47" t="s">
        <v>744</v>
      </c>
      <c r="D398" s="35">
        <v>1860</v>
      </c>
    </row>
    <row r="399" spans="1:4" ht="16.95" customHeight="1">
      <c r="A399" s="25">
        <v>366</v>
      </c>
      <c r="B399" s="5"/>
      <c r="C399" s="47" t="s">
        <v>745</v>
      </c>
      <c r="D399" s="35">
        <v>3100</v>
      </c>
    </row>
    <row r="400" spans="1:4" ht="16.95" customHeight="1">
      <c r="A400" s="25">
        <v>367</v>
      </c>
      <c r="B400" s="5"/>
      <c r="C400" s="47" t="s">
        <v>746</v>
      </c>
      <c r="D400" s="35">
        <v>5580</v>
      </c>
    </row>
    <row r="401" spans="1:4" ht="16.95" customHeight="1">
      <c r="A401" s="25">
        <v>368</v>
      </c>
      <c r="B401" s="5"/>
      <c r="C401" s="47" t="s">
        <v>747</v>
      </c>
      <c r="D401" s="35">
        <v>4650</v>
      </c>
    </row>
    <row r="402" spans="1:4" ht="16.95" customHeight="1">
      <c r="A402" s="25">
        <v>374</v>
      </c>
      <c r="B402" s="5"/>
      <c r="C402" s="47" t="s">
        <v>707</v>
      </c>
      <c r="D402" s="35">
        <v>560</v>
      </c>
    </row>
    <row r="403" spans="1:4" ht="16.95" customHeight="1">
      <c r="A403" s="25">
        <v>375</v>
      </c>
      <c r="B403" s="5"/>
      <c r="C403" s="47" t="s">
        <v>708</v>
      </c>
      <c r="D403" s="35">
        <v>1120</v>
      </c>
    </row>
    <row r="404" spans="1:4" ht="16.95" customHeight="1">
      <c r="A404" s="25">
        <v>376</v>
      </c>
      <c r="B404" s="5"/>
      <c r="C404" s="47" t="s">
        <v>709</v>
      </c>
      <c r="D404" s="35">
        <v>1680</v>
      </c>
    </row>
    <row r="405" spans="1:4" ht="16.95" customHeight="1">
      <c r="A405" s="25">
        <v>377</v>
      </c>
      <c r="B405" s="5"/>
      <c r="C405" s="47" t="s">
        <v>710</v>
      </c>
      <c r="D405" s="35">
        <v>3380</v>
      </c>
    </row>
    <row r="406" spans="1:4" ht="16.95" customHeight="1">
      <c r="A406" s="25">
        <v>378</v>
      </c>
      <c r="B406" s="5"/>
      <c r="C406" s="47" t="s">
        <v>711</v>
      </c>
      <c r="D406" s="35">
        <v>2820</v>
      </c>
    </row>
    <row r="407" spans="1:4" ht="16.95" customHeight="1">
      <c r="A407" s="25">
        <v>379</v>
      </c>
      <c r="B407" s="5"/>
      <c r="C407" s="47" t="s">
        <v>748</v>
      </c>
      <c r="D407" s="35">
        <v>850</v>
      </c>
    </row>
    <row r="408" spans="1:4" ht="16.95" customHeight="1">
      <c r="A408" s="25">
        <v>380</v>
      </c>
      <c r="B408" s="5"/>
      <c r="C408" s="47" t="s">
        <v>749</v>
      </c>
      <c r="D408" s="35">
        <v>1680</v>
      </c>
    </row>
    <row r="409" spans="1:4" ht="16.95" customHeight="1">
      <c r="A409" s="25">
        <v>381</v>
      </c>
      <c r="B409" s="5"/>
      <c r="C409" s="47" t="s">
        <v>750</v>
      </c>
      <c r="D409" s="35">
        <v>2820</v>
      </c>
    </row>
    <row r="410" spans="1:4" ht="16.95" customHeight="1">
      <c r="A410" s="25">
        <v>382</v>
      </c>
      <c r="B410" s="5"/>
      <c r="C410" s="47" t="s">
        <v>751</v>
      </c>
      <c r="D410" s="35">
        <v>5060</v>
      </c>
    </row>
    <row r="411" spans="1:4" ht="16.95" customHeight="1">
      <c r="A411" s="25">
        <v>383</v>
      </c>
      <c r="B411" s="5"/>
      <c r="C411" s="47" t="s">
        <v>752</v>
      </c>
      <c r="D411" s="35">
        <v>4220</v>
      </c>
    </row>
    <row r="412" spans="1:4" ht="16.95" customHeight="1">
      <c r="A412" s="25">
        <v>389</v>
      </c>
      <c r="B412" s="5"/>
      <c r="C412" s="47" t="s">
        <v>712</v>
      </c>
      <c r="D412" s="35">
        <v>150</v>
      </c>
    </row>
    <row r="413" spans="1:4" ht="16.95" customHeight="1">
      <c r="A413" s="25">
        <v>390</v>
      </c>
      <c r="B413" s="5"/>
      <c r="C413" s="47" t="s">
        <v>713</v>
      </c>
      <c r="D413" s="35">
        <v>320</v>
      </c>
    </row>
    <row r="414" spans="1:4" ht="16.95" customHeight="1">
      <c r="A414" s="25">
        <v>391</v>
      </c>
      <c r="B414" s="5"/>
      <c r="C414" s="47" t="s">
        <v>714</v>
      </c>
      <c r="D414" s="35">
        <v>470</v>
      </c>
    </row>
    <row r="415" spans="1:4" ht="16.95" customHeight="1">
      <c r="A415" s="25">
        <v>392</v>
      </c>
      <c r="B415" s="5"/>
      <c r="C415" s="47" t="s">
        <v>715</v>
      </c>
      <c r="D415" s="35">
        <v>950</v>
      </c>
    </row>
    <row r="416" spans="1:4" ht="16.95" customHeight="1">
      <c r="A416" s="25">
        <v>393</v>
      </c>
      <c r="B416" s="5"/>
      <c r="C416" s="47" t="s">
        <v>716</v>
      </c>
      <c r="D416" s="35">
        <v>790</v>
      </c>
    </row>
    <row r="417" spans="1:4" ht="16.95" customHeight="1">
      <c r="A417" s="25">
        <v>394</v>
      </c>
      <c r="B417" s="5"/>
      <c r="C417" s="47" t="s">
        <v>753</v>
      </c>
      <c r="D417" s="35">
        <v>240</v>
      </c>
    </row>
    <row r="418" spans="1:4" ht="16.95" customHeight="1">
      <c r="A418" s="25">
        <v>395</v>
      </c>
      <c r="B418" s="5"/>
      <c r="C418" s="47" t="s">
        <v>754</v>
      </c>
      <c r="D418" s="35">
        <v>470</v>
      </c>
    </row>
    <row r="419" spans="1:4" ht="16.95" customHeight="1">
      <c r="A419" s="25">
        <v>396</v>
      </c>
      <c r="B419" s="5"/>
      <c r="C419" s="47" t="s">
        <v>755</v>
      </c>
      <c r="D419" s="35">
        <v>790</v>
      </c>
    </row>
    <row r="420" spans="1:4" ht="16.95" customHeight="1">
      <c r="A420" s="25">
        <v>397</v>
      </c>
      <c r="B420" s="5"/>
      <c r="C420" s="47" t="s">
        <v>756</v>
      </c>
      <c r="D420" s="35">
        <v>1430</v>
      </c>
    </row>
    <row r="421" spans="1:4" ht="16.95" customHeight="1">
      <c r="A421" s="25">
        <v>398</v>
      </c>
      <c r="B421" s="5"/>
      <c r="C421" s="47" t="s">
        <v>757</v>
      </c>
      <c r="D421" s="35">
        <v>1190</v>
      </c>
    </row>
    <row r="422" spans="1:4" ht="16.95" customHeight="1">
      <c r="A422" s="25">
        <v>404</v>
      </c>
      <c r="B422" s="5"/>
      <c r="C422" s="47" t="s">
        <v>717</v>
      </c>
      <c r="D422" s="35">
        <v>260</v>
      </c>
    </row>
    <row r="423" spans="1:4" ht="16.95" customHeight="1">
      <c r="A423" s="25">
        <v>405</v>
      </c>
      <c r="B423" s="5"/>
      <c r="C423" s="47" t="s">
        <v>718</v>
      </c>
      <c r="D423" s="35">
        <v>520</v>
      </c>
    </row>
    <row r="424" spans="1:4" ht="16.95" customHeight="1">
      <c r="A424" s="25">
        <v>406</v>
      </c>
      <c r="B424" s="5"/>
      <c r="C424" s="47" t="s">
        <v>719</v>
      </c>
      <c r="D424" s="35">
        <v>780</v>
      </c>
    </row>
    <row r="425" spans="1:4" ht="16.95" customHeight="1">
      <c r="A425" s="25">
        <v>407</v>
      </c>
      <c r="B425" s="5"/>
      <c r="C425" s="47" t="s">
        <v>720</v>
      </c>
      <c r="D425" s="35">
        <v>1550</v>
      </c>
    </row>
    <row r="426" spans="1:4" ht="16.95" customHeight="1">
      <c r="A426" s="25">
        <v>408</v>
      </c>
      <c r="B426" s="5"/>
      <c r="C426" s="47" t="s">
        <v>721</v>
      </c>
      <c r="D426" s="35">
        <v>1300</v>
      </c>
    </row>
    <row r="427" spans="1:4" ht="16.95" customHeight="1">
      <c r="A427" s="25">
        <v>409</v>
      </c>
      <c r="B427" s="5"/>
      <c r="C427" s="47" t="s">
        <v>758</v>
      </c>
      <c r="D427" s="35">
        <v>390</v>
      </c>
    </row>
    <row r="428" spans="1:4" ht="16.95" customHeight="1">
      <c r="A428" s="25">
        <v>410</v>
      </c>
      <c r="B428" s="5"/>
      <c r="C428" s="47" t="s">
        <v>759</v>
      </c>
      <c r="D428" s="35">
        <v>780</v>
      </c>
    </row>
    <row r="429" spans="1:4" ht="16.95" customHeight="1">
      <c r="A429" s="25">
        <v>411</v>
      </c>
      <c r="B429" s="5"/>
      <c r="C429" s="47" t="s">
        <v>760</v>
      </c>
      <c r="D429" s="35">
        <v>1300</v>
      </c>
    </row>
    <row r="430" spans="1:4" ht="16.95" customHeight="1">
      <c r="A430" s="25">
        <v>412</v>
      </c>
      <c r="B430" s="5"/>
      <c r="C430" s="47" t="s">
        <v>761</v>
      </c>
      <c r="D430" s="35">
        <v>2330</v>
      </c>
    </row>
    <row r="431" spans="1:4" ht="16.95" customHeight="1">
      <c r="A431" s="25">
        <v>413</v>
      </c>
      <c r="B431" s="5"/>
      <c r="C431" s="47" t="s">
        <v>762</v>
      </c>
      <c r="D431" s="35">
        <v>1940</v>
      </c>
    </row>
    <row r="432" spans="1:4" ht="16.95" customHeight="1">
      <c r="A432" s="25">
        <v>419</v>
      </c>
      <c r="B432" s="5"/>
      <c r="C432" s="47" t="s">
        <v>722</v>
      </c>
      <c r="D432" s="35">
        <v>350</v>
      </c>
    </row>
    <row r="433" spans="1:4" ht="16.95" customHeight="1">
      <c r="A433" s="25">
        <v>420</v>
      </c>
      <c r="B433" s="5"/>
      <c r="C433" s="47" t="s">
        <v>723</v>
      </c>
      <c r="D433" s="35">
        <v>690</v>
      </c>
    </row>
    <row r="434" spans="1:4" ht="16.95" customHeight="1">
      <c r="A434" s="25">
        <v>421</v>
      </c>
      <c r="B434" s="5"/>
      <c r="C434" s="47" t="s">
        <v>724</v>
      </c>
      <c r="D434" s="35">
        <v>1050</v>
      </c>
    </row>
    <row r="435" spans="1:4" ht="16.95" customHeight="1">
      <c r="A435" s="25">
        <v>422</v>
      </c>
      <c r="B435" s="5"/>
      <c r="C435" s="47" t="s">
        <v>725</v>
      </c>
      <c r="D435" s="35">
        <v>2080</v>
      </c>
    </row>
    <row r="436" spans="1:4" ht="16.95" customHeight="1">
      <c r="A436" s="25">
        <v>423</v>
      </c>
      <c r="B436" s="5"/>
      <c r="C436" s="47" t="s">
        <v>726</v>
      </c>
      <c r="D436" s="35">
        <v>1740</v>
      </c>
    </row>
    <row r="437" spans="1:4" ht="16.95" customHeight="1">
      <c r="A437" s="25">
        <v>424</v>
      </c>
      <c r="B437" s="5"/>
      <c r="C437" s="47" t="s">
        <v>763</v>
      </c>
      <c r="D437" s="35">
        <v>520</v>
      </c>
    </row>
    <row r="438" spans="1:4" ht="16.95" customHeight="1">
      <c r="A438" s="25">
        <v>425</v>
      </c>
      <c r="B438" s="5"/>
      <c r="C438" s="47" t="s">
        <v>764</v>
      </c>
      <c r="D438" s="35">
        <v>1050</v>
      </c>
    </row>
    <row r="439" spans="1:4" ht="16.95" customHeight="1">
      <c r="A439" s="25">
        <v>426</v>
      </c>
      <c r="B439" s="5"/>
      <c r="C439" s="47" t="s">
        <v>765</v>
      </c>
      <c r="D439" s="35">
        <v>1740</v>
      </c>
    </row>
    <row r="440" spans="1:4" ht="16.95" customHeight="1">
      <c r="A440" s="25">
        <v>427</v>
      </c>
      <c r="B440" s="5"/>
      <c r="C440" s="47" t="s">
        <v>766</v>
      </c>
      <c r="D440" s="35">
        <v>3120</v>
      </c>
    </row>
    <row r="441" spans="1:4" ht="16.95" customHeight="1">
      <c r="A441" s="25">
        <v>428</v>
      </c>
      <c r="B441" s="5"/>
      <c r="C441" s="47" t="s">
        <v>767</v>
      </c>
      <c r="D441" s="35">
        <v>2610</v>
      </c>
    </row>
    <row r="442" spans="1:4" ht="16.95" customHeight="1">
      <c r="A442" s="25">
        <v>434</v>
      </c>
      <c r="B442" s="5"/>
      <c r="C442" s="47" t="s">
        <v>727</v>
      </c>
      <c r="D442" s="35">
        <v>970</v>
      </c>
    </row>
    <row r="443" spans="1:4" ht="16.95" customHeight="1">
      <c r="A443" s="25">
        <v>435</v>
      </c>
      <c r="B443" s="5"/>
      <c r="C443" s="47" t="s">
        <v>728</v>
      </c>
      <c r="D443" s="35">
        <v>1940</v>
      </c>
    </row>
    <row r="444" spans="1:4" ht="16.95" customHeight="1">
      <c r="A444" s="25">
        <v>436</v>
      </c>
      <c r="B444" s="5"/>
      <c r="C444" s="47" t="s">
        <v>729</v>
      </c>
      <c r="D444" s="35">
        <v>2920</v>
      </c>
    </row>
    <row r="445" spans="1:4" ht="16.95" customHeight="1">
      <c r="A445" s="25">
        <v>437</v>
      </c>
      <c r="B445" s="5"/>
      <c r="C445" s="47" t="s">
        <v>730</v>
      </c>
      <c r="D445" s="35">
        <v>5820</v>
      </c>
    </row>
    <row r="446" spans="1:4" ht="16.95" customHeight="1">
      <c r="A446" s="25">
        <v>438</v>
      </c>
      <c r="B446" s="5"/>
      <c r="C446" s="47" t="s">
        <v>731</v>
      </c>
      <c r="D446" s="35">
        <v>4850</v>
      </c>
    </row>
    <row r="447" spans="1:4" ht="16.95" customHeight="1">
      <c r="A447" s="25">
        <v>439</v>
      </c>
      <c r="B447" s="5"/>
      <c r="C447" s="47" t="s">
        <v>768</v>
      </c>
      <c r="D447" s="35">
        <v>1450</v>
      </c>
    </row>
    <row r="448" spans="1:4" ht="16.95" customHeight="1">
      <c r="A448" s="25">
        <v>440</v>
      </c>
      <c r="B448" s="5"/>
      <c r="C448" s="47" t="s">
        <v>769</v>
      </c>
      <c r="D448" s="35">
        <v>2920</v>
      </c>
    </row>
    <row r="449" spans="1:4" ht="16.95" customHeight="1">
      <c r="A449" s="25">
        <v>441</v>
      </c>
      <c r="B449" s="5"/>
      <c r="C449" s="47" t="s">
        <v>770</v>
      </c>
      <c r="D449" s="35">
        <v>4850</v>
      </c>
    </row>
    <row r="450" spans="1:4" ht="16.95" customHeight="1">
      <c r="A450" s="25">
        <v>442</v>
      </c>
      <c r="B450" s="5"/>
      <c r="C450" s="47" t="s">
        <v>771</v>
      </c>
      <c r="D450" s="35">
        <v>8730</v>
      </c>
    </row>
    <row r="451" spans="1:4" ht="16.95" customHeight="1">
      <c r="A451" s="25">
        <v>443</v>
      </c>
      <c r="B451" s="5"/>
      <c r="C451" s="47" t="s">
        <v>772</v>
      </c>
      <c r="D451" s="35">
        <v>7280</v>
      </c>
    </row>
    <row r="452" spans="1:4" ht="16.95" customHeight="1">
      <c r="A452" s="25">
        <v>449</v>
      </c>
      <c r="B452" s="5"/>
      <c r="C452" s="47" t="s">
        <v>669</v>
      </c>
      <c r="D452" s="35">
        <v>400</v>
      </c>
    </row>
    <row r="453" spans="1:4" ht="16.95" customHeight="1">
      <c r="A453" s="25">
        <v>450</v>
      </c>
      <c r="B453" s="5"/>
      <c r="C453" s="47" t="s">
        <v>732</v>
      </c>
      <c r="D453" s="35">
        <v>780</v>
      </c>
    </row>
    <row r="454" spans="1:4" ht="16.95" customHeight="1">
      <c r="A454" s="25">
        <v>451</v>
      </c>
      <c r="B454" s="5"/>
      <c r="C454" s="47" t="s">
        <v>733</v>
      </c>
      <c r="D454" s="35">
        <v>1180</v>
      </c>
    </row>
    <row r="455" spans="1:4" ht="16.95" customHeight="1">
      <c r="A455" s="25">
        <v>452</v>
      </c>
      <c r="B455" s="5"/>
      <c r="C455" s="47" t="s">
        <v>734</v>
      </c>
      <c r="D455" s="35">
        <v>2350</v>
      </c>
    </row>
    <row r="456" spans="1:4" ht="16.95" customHeight="1">
      <c r="A456" s="25">
        <v>453</v>
      </c>
      <c r="B456" s="5"/>
      <c r="C456" s="47" t="s">
        <v>735</v>
      </c>
      <c r="D456" s="35">
        <v>1970</v>
      </c>
    </row>
    <row r="457" spans="1:4" ht="16.95" customHeight="1">
      <c r="A457" s="25">
        <v>454</v>
      </c>
      <c r="B457" s="5"/>
      <c r="C457" s="47" t="s">
        <v>773</v>
      </c>
      <c r="D457" s="35">
        <v>590</v>
      </c>
    </row>
    <row r="458" spans="1:4" ht="16.95" customHeight="1">
      <c r="A458" s="25">
        <v>455</v>
      </c>
      <c r="B458" s="5"/>
      <c r="C458" s="47" t="s">
        <v>774</v>
      </c>
      <c r="D458" s="35">
        <v>1180</v>
      </c>
    </row>
    <row r="459" spans="1:4" ht="16.95" customHeight="1">
      <c r="A459" s="25">
        <v>456</v>
      </c>
      <c r="B459" s="5"/>
      <c r="C459" s="47" t="s">
        <v>775</v>
      </c>
      <c r="D459" s="35">
        <v>1970</v>
      </c>
    </row>
    <row r="460" spans="1:4" ht="16.95" customHeight="1">
      <c r="A460" s="25">
        <v>457</v>
      </c>
      <c r="B460" s="5"/>
      <c r="C460" s="47" t="s">
        <v>776</v>
      </c>
      <c r="D460" s="35">
        <v>3530</v>
      </c>
    </row>
    <row r="461" spans="1:4" ht="16.95" customHeight="1">
      <c r="A461" s="25">
        <v>458</v>
      </c>
      <c r="B461" s="5"/>
      <c r="C461" s="47" t="s">
        <v>777</v>
      </c>
      <c r="D461" s="35">
        <v>2950</v>
      </c>
    </row>
    <row r="462" spans="1:4" ht="16.95" customHeight="1">
      <c r="A462" s="25">
        <v>464</v>
      </c>
      <c r="B462" s="5"/>
      <c r="C462" s="47" t="s">
        <v>736</v>
      </c>
      <c r="D462" s="35">
        <v>390</v>
      </c>
    </row>
    <row r="463" spans="1:4" ht="16.95" customHeight="1">
      <c r="A463" s="25">
        <v>465</v>
      </c>
      <c r="B463" s="5"/>
      <c r="C463" s="47" t="s">
        <v>670</v>
      </c>
      <c r="D463" s="35">
        <v>770</v>
      </c>
    </row>
    <row r="464" spans="1:4" ht="16.95" customHeight="1">
      <c r="A464" s="25">
        <v>466</v>
      </c>
      <c r="B464" s="5"/>
      <c r="C464" s="47" t="s">
        <v>671</v>
      </c>
      <c r="D464" s="35">
        <v>1160</v>
      </c>
    </row>
    <row r="465" spans="1:4" ht="16.95" customHeight="1">
      <c r="A465" s="25">
        <v>467</v>
      </c>
      <c r="B465" s="5"/>
      <c r="C465" s="47" t="s">
        <v>672</v>
      </c>
      <c r="D465" s="35">
        <v>2300</v>
      </c>
    </row>
    <row r="466" spans="1:4" ht="16.95" customHeight="1">
      <c r="A466" s="25">
        <v>468</v>
      </c>
      <c r="B466" s="5"/>
      <c r="C466" s="47" t="s">
        <v>673</v>
      </c>
      <c r="D466" s="35">
        <v>1910</v>
      </c>
    </row>
    <row r="467" spans="1:4" ht="16.95" customHeight="1">
      <c r="A467" s="25">
        <v>469</v>
      </c>
      <c r="B467" s="5"/>
      <c r="C467" s="47" t="s">
        <v>778</v>
      </c>
      <c r="D467" s="35">
        <v>570</v>
      </c>
    </row>
    <row r="468" spans="1:4" ht="16.95" customHeight="1">
      <c r="A468" s="25">
        <v>470</v>
      </c>
      <c r="B468" s="5"/>
      <c r="C468" s="47" t="s">
        <v>779</v>
      </c>
      <c r="D468" s="35">
        <v>1160</v>
      </c>
    </row>
    <row r="469" spans="1:4" ht="16.95" customHeight="1">
      <c r="A469" s="25">
        <v>471</v>
      </c>
      <c r="B469" s="5"/>
      <c r="C469" s="47" t="s">
        <v>780</v>
      </c>
      <c r="D469" s="35">
        <v>1910</v>
      </c>
    </row>
    <row r="470" spans="1:4" ht="16.95" customHeight="1">
      <c r="A470" s="25">
        <v>472</v>
      </c>
      <c r="B470" s="5"/>
      <c r="C470" s="47" t="s">
        <v>781</v>
      </c>
      <c r="D470" s="35">
        <v>3440</v>
      </c>
    </row>
    <row r="471" spans="1:4" ht="16.95" customHeight="1">
      <c r="A471" s="25">
        <v>473</v>
      </c>
      <c r="B471" s="5"/>
      <c r="C471" s="47" t="s">
        <v>782</v>
      </c>
      <c r="D471" s="35">
        <v>2870</v>
      </c>
    </row>
    <row r="472" spans="1:4" ht="16.95" customHeight="1">
      <c r="A472" s="25">
        <v>479</v>
      </c>
      <c r="B472" s="5"/>
      <c r="C472" s="38" t="s">
        <v>813</v>
      </c>
      <c r="D472" s="35">
        <v>290</v>
      </c>
    </row>
    <row r="473" spans="1:4" ht="16.95" customHeight="1">
      <c r="A473" s="25">
        <v>480</v>
      </c>
      <c r="B473" s="5"/>
      <c r="C473" s="47" t="s">
        <v>674</v>
      </c>
      <c r="D473" s="35">
        <v>560</v>
      </c>
    </row>
    <row r="474" spans="1:4" ht="16.95" customHeight="1">
      <c r="A474" s="25">
        <v>481</v>
      </c>
      <c r="B474" s="5"/>
      <c r="C474" s="47" t="s">
        <v>675</v>
      </c>
      <c r="D474" s="35">
        <v>840</v>
      </c>
    </row>
    <row r="475" spans="1:4" ht="16.95" customHeight="1">
      <c r="A475" s="25">
        <v>482</v>
      </c>
      <c r="B475" s="5"/>
      <c r="C475" s="47" t="s">
        <v>676</v>
      </c>
      <c r="D475" s="35">
        <v>1680</v>
      </c>
    </row>
    <row r="476" spans="1:4" ht="16.95" customHeight="1">
      <c r="A476" s="25">
        <v>483</v>
      </c>
      <c r="B476" s="5"/>
      <c r="C476" s="47" t="s">
        <v>677</v>
      </c>
      <c r="D476" s="35">
        <v>1400</v>
      </c>
    </row>
    <row r="477" spans="1:4" ht="16.95" customHeight="1">
      <c r="A477" s="25">
        <v>484</v>
      </c>
      <c r="B477" s="5"/>
      <c r="C477" s="47" t="s">
        <v>783</v>
      </c>
      <c r="D477" s="35">
        <v>420</v>
      </c>
    </row>
    <row r="478" spans="1:4" ht="16.95" customHeight="1">
      <c r="A478" s="25">
        <v>485</v>
      </c>
      <c r="B478" s="5"/>
      <c r="C478" s="47" t="s">
        <v>784</v>
      </c>
      <c r="D478" s="35">
        <v>840</v>
      </c>
    </row>
    <row r="479" spans="1:4" ht="16.95" customHeight="1">
      <c r="A479" s="25">
        <v>486</v>
      </c>
      <c r="B479" s="5"/>
      <c r="C479" s="47" t="s">
        <v>785</v>
      </c>
      <c r="D479" s="35">
        <v>1400</v>
      </c>
    </row>
    <row r="480" spans="1:4" ht="16.95" customHeight="1">
      <c r="A480" s="25">
        <v>487</v>
      </c>
      <c r="B480" s="5"/>
      <c r="C480" s="47" t="s">
        <v>786</v>
      </c>
      <c r="D480" s="35">
        <v>2520</v>
      </c>
    </row>
    <row r="481" spans="1:4" ht="16.95" customHeight="1">
      <c r="A481" s="25">
        <v>488</v>
      </c>
      <c r="B481" s="5"/>
      <c r="C481" s="47" t="s">
        <v>787</v>
      </c>
      <c r="D481" s="35">
        <v>2100</v>
      </c>
    </row>
    <row r="482" spans="1:4" ht="16.95" customHeight="1">
      <c r="A482" s="25">
        <v>494</v>
      </c>
      <c r="B482" s="5"/>
      <c r="C482" s="47" t="s">
        <v>678</v>
      </c>
      <c r="D482" s="35">
        <v>200</v>
      </c>
    </row>
    <row r="483" spans="1:4" ht="16.95" customHeight="1">
      <c r="A483" s="25">
        <v>495</v>
      </c>
      <c r="B483" s="5"/>
      <c r="C483" s="47" t="s">
        <v>679</v>
      </c>
      <c r="D483" s="35">
        <v>400</v>
      </c>
    </row>
    <row r="484" spans="1:4" ht="16.95" customHeight="1">
      <c r="A484" s="25">
        <v>496</v>
      </c>
      <c r="B484" s="5"/>
      <c r="C484" s="47" t="s">
        <v>680</v>
      </c>
      <c r="D484" s="35">
        <v>590</v>
      </c>
    </row>
    <row r="485" spans="1:4" ht="16.95" customHeight="1">
      <c r="A485" s="25">
        <v>497</v>
      </c>
      <c r="B485" s="5"/>
      <c r="C485" s="47" t="s">
        <v>681</v>
      </c>
      <c r="D485" s="35">
        <v>1180</v>
      </c>
    </row>
    <row r="486" spans="1:4" ht="16.95" customHeight="1">
      <c r="A486" s="25">
        <v>498</v>
      </c>
      <c r="B486" s="5"/>
      <c r="C486" s="47" t="s">
        <v>682</v>
      </c>
      <c r="D486" s="35">
        <v>980</v>
      </c>
    </row>
    <row r="487" spans="1:4" ht="16.95" customHeight="1">
      <c r="A487" s="25">
        <v>499</v>
      </c>
      <c r="B487" s="5"/>
      <c r="C487" s="47" t="s">
        <v>788</v>
      </c>
      <c r="D487" s="35">
        <v>300</v>
      </c>
    </row>
    <row r="488" spans="1:4" ht="16.95" customHeight="1">
      <c r="A488" s="25">
        <v>500</v>
      </c>
      <c r="B488" s="5"/>
      <c r="C488" s="47" t="s">
        <v>789</v>
      </c>
      <c r="D488" s="35">
        <v>590</v>
      </c>
    </row>
    <row r="489" spans="1:4" ht="16.95" customHeight="1">
      <c r="A489" s="25">
        <v>501</v>
      </c>
      <c r="B489" s="5"/>
      <c r="C489" s="47" t="s">
        <v>790</v>
      </c>
      <c r="D489" s="35">
        <v>980</v>
      </c>
    </row>
    <row r="490" spans="1:4" ht="16.95" customHeight="1">
      <c r="A490" s="25">
        <v>502</v>
      </c>
      <c r="B490" s="5"/>
      <c r="C490" s="47" t="s">
        <v>791</v>
      </c>
      <c r="D490" s="35">
        <v>1770</v>
      </c>
    </row>
    <row r="491" spans="1:4" ht="16.95" customHeight="1">
      <c r="A491" s="25">
        <v>503</v>
      </c>
      <c r="B491" s="5"/>
      <c r="C491" s="47" t="s">
        <v>792</v>
      </c>
      <c r="D491" s="35">
        <v>1470</v>
      </c>
    </row>
    <row r="492" spans="1:4" ht="28.95" customHeight="1">
      <c r="A492" s="25">
        <v>509</v>
      </c>
      <c r="B492" s="48"/>
      <c r="C492" s="38" t="s">
        <v>683</v>
      </c>
      <c r="D492" s="35">
        <v>180</v>
      </c>
    </row>
    <row r="493" spans="1:4" ht="28.95" customHeight="1">
      <c r="A493" s="25">
        <v>510</v>
      </c>
      <c r="B493" s="48"/>
      <c r="C493" s="38" t="s">
        <v>684</v>
      </c>
      <c r="D493" s="35">
        <v>350</v>
      </c>
    </row>
    <row r="494" spans="1:4" ht="28.95" customHeight="1">
      <c r="A494" s="25">
        <v>511</v>
      </c>
      <c r="B494" s="48"/>
      <c r="C494" s="38" t="s">
        <v>685</v>
      </c>
      <c r="D494" s="35">
        <v>530</v>
      </c>
    </row>
    <row r="495" spans="1:4" ht="28.95" customHeight="1">
      <c r="A495" s="25">
        <v>512</v>
      </c>
      <c r="B495" s="48"/>
      <c r="C495" s="38" t="s">
        <v>686</v>
      </c>
      <c r="D495" s="35">
        <v>1070</v>
      </c>
    </row>
    <row r="496" spans="1:4" ht="28.95" customHeight="1">
      <c r="A496" s="25">
        <v>513</v>
      </c>
      <c r="B496" s="48"/>
      <c r="C496" s="38" t="s">
        <v>687</v>
      </c>
      <c r="D496" s="35">
        <v>890</v>
      </c>
    </row>
    <row r="497" spans="1:4" ht="28.95" customHeight="1">
      <c r="A497" s="25">
        <v>514</v>
      </c>
      <c r="B497" s="48"/>
      <c r="C497" s="38" t="s">
        <v>793</v>
      </c>
      <c r="D497" s="35">
        <v>260</v>
      </c>
    </row>
    <row r="498" spans="1:4" ht="28.95" customHeight="1">
      <c r="A498" s="25">
        <v>515</v>
      </c>
      <c r="B498" s="48"/>
      <c r="C498" s="38" t="s">
        <v>794</v>
      </c>
      <c r="D498" s="35">
        <v>530</v>
      </c>
    </row>
    <row r="499" spans="1:4" ht="28.95" customHeight="1">
      <c r="A499" s="25">
        <v>516</v>
      </c>
      <c r="B499" s="48"/>
      <c r="C499" s="38" t="s">
        <v>795</v>
      </c>
      <c r="D499" s="35">
        <v>890</v>
      </c>
    </row>
    <row r="500" spans="1:4" ht="28.95" customHeight="1">
      <c r="A500" s="25">
        <v>517</v>
      </c>
      <c r="B500" s="48"/>
      <c r="C500" s="38" t="s">
        <v>796</v>
      </c>
      <c r="D500" s="35">
        <v>1600</v>
      </c>
    </row>
    <row r="501" spans="1:4" ht="28.95" customHeight="1">
      <c r="A501" s="25">
        <v>518</v>
      </c>
      <c r="B501" s="48"/>
      <c r="C501" s="38" t="s">
        <v>797</v>
      </c>
      <c r="D501" s="35">
        <v>1330</v>
      </c>
    </row>
    <row r="502" spans="1:4" ht="16.95" customHeight="1">
      <c r="A502" s="25">
        <v>524</v>
      </c>
      <c r="B502" s="49"/>
      <c r="C502" s="38" t="s">
        <v>688</v>
      </c>
      <c r="D502" s="35">
        <v>340</v>
      </c>
    </row>
    <row r="503" spans="1:4" ht="16.95" customHeight="1">
      <c r="A503" s="25">
        <v>525</v>
      </c>
      <c r="B503" s="49"/>
      <c r="C503" s="38" t="s">
        <v>689</v>
      </c>
      <c r="D503" s="35">
        <v>690</v>
      </c>
    </row>
    <row r="504" spans="1:4" ht="16.95" customHeight="1">
      <c r="A504" s="25">
        <v>526</v>
      </c>
      <c r="B504" s="49"/>
      <c r="C504" s="38" t="s">
        <v>690</v>
      </c>
      <c r="D504" s="35">
        <v>1030</v>
      </c>
    </row>
    <row r="505" spans="1:4" ht="16.95" customHeight="1">
      <c r="A505" s="25">
        <v>527</v>
      </c>
      <c r="B505" s="49"/>
      <c r="C505" s="38" t="s">
        <v>691</v>
      </c>
      <c r="D505" s="35">
        <v>2070</v>
      </c>
    </row>
    <row r="506" spans="1:4" ht="16.95" customHeight="1">
      <c r="A506" s="25">
        <v>528</v>
      </c>
      <c r="B506" s="49"/>
      <c r="C506" s="38" t="s">
        <v>692</v>
      </c>
      <c r="D506" s="35">
        <v>1730</v>
      </c>
    </row>
    <row r="507" spans="1:4" ht="16.95" customHeight="1">
      <c r="A507" s="25">
        <v>529</v>
      </c>
      <c r="B507" s="49"/>
      <c r="C507" s="38" t="s">
        <v>798</v>
      </c>
      <c r="D507" s="35">
        <v>520</v>
      </c>
    </row>
    <row r="508" spans="1:4" ht="16.95" customHeight="1">
      <c r="A508" s="25">
        <v>530</v>
      </c>
      <c r="B508" s="49"/>
      <c r="C508" s="38" t="s">
        <v>799</v>
      </c>
      <c r="D508" s="35">
        <v>1030</v>
      </c>
    </row>
    <row r="509" spans="1:4" ht="16.95" customHeight="1">
      <c r="A509" s="25">
        <v>531</v>
      </c>
      <c r="B509" s="49"/>
      <c r="C509" s="38" t="s">
        <v>800</v>
      </c>
      <c r="D509" s="35">
        <v>1730</v>
      </c>
    </row>
    <row r="510" spans="1:4" ht="16.95" customHeight="1">
      <c r="A510" s="25">
        <v>532</v>
      </c>
      <c r="B510" s="49"/>
      <c r="C510" s="38" t="s">
        <v>801</v>
      </c>
      <c r="D510" s="35">
        <v>3100</v>
      </c>
    </row>
    <row r="511" spans="1:4" ht="16.95" customHeight="1">
      <c r="A511" s="25">
        <v>533</v>
      </c>
      <c r="B511" s="49"/>
      <c r="C511" s="38" t="s">
        <v>802</v>
      </c>
      <c r="D511" s="35">
        <v>2590</v>
      </c>
    </row>
    <row r="512" spans="1:4" ht="16.95" customHeight="1">
      <c r="A512" s="25">
        <v>544</v>
      </c>
      <c r="B512" s="49"/>
      <c r="C512" s="38" t="s">
        <v>646</v>
      </c>
      <c r="D512" s="35">
        <v>170</v>
      </c>
    </row>
    <row r="513" spans="1:4" ht="16.95" customHeight="1">
      <c r="A513" s="25">
        <v>545</v>
      </c>
      <c r="B513" s="49"/>
      <c r="C513" s="38" t="s">
        <v>575</v>
      </c>
      <c r="D513" s="35">
        <v>180</v>
      </c>
    </row>
    <row r="514" spans="1:4" ht="43.2" customHeight="1">
      <c r="A514" s="51">
        <v>546</v>
      </c>
      <c r="B514" s="52"/>
      <c r="C514" s="53" t="s">
        <v>647</v>
      </c>
      <c r="D514" s="35">
        <v>34900</v>
      </c>
    </row>
    <row r="515" spans="1:4" ht="27.6" customHeight="1">
      <c r="A515" s="25">
        <v>547</v>
      </c>
      <c r="B515" s="49"/>
      <c r="C515" s="38" t="s">
        <v>650</v>
      </c>
      <c r="D515" s="35">
        <v>7390</v>
      </c>
    </row>
    <row r="516" spans="1:4" ht="27.6" customHeight="1">
      <c r="A516" s="25" t="s">
        <v>814</v>
      </c>
      <c r="B516" s="49" t="s">
        <v>815</v>
      </c>
      <c r="C516" s="38" t="s">
        <v>816</v>
      </c>
      <c r="D516" s="35">
        <v>920</v>
      </c>
    </row>
    <row r="517" spans="1:4" ht="16.95" customHeight="1">
      <c r="A517" s="25">
        <v>548</v>
      </c>
      <c r="B517" s="5"/>
      <c r="C517" s="47" t="s">
        <v>656</v>
      </c>
      <c r="D517" s="35">
        <v>280</v>
      </c>
    </row>
    <row r="518" spans="1:4" ht="16.95" customHeight="1">
      <c r="A518" s="25">
        <v>554</v>
      </c>
      <c r="B518" s="5"/>
      <c r="C518" s="47" t="s">
        <v>1002</v>
      </c>
      <c r="D518" s="35">
        <v>510</v>
      </c>
    </row>
    <row r="519" spans="1:4" ht="16.95" customHeight="1">
      <c r="A519" s="25">
        <v>555</v>
      </c>
      <c r="B519" s="5"/>
      <c r="C519" s="47" t="s">
        <v>1003</v>
      </c>
      <c r="D519" s="35">
        <v>1010</v>
      </c>
    </row>
    <row r="520" spans="1:4" ht="16.95" customHeight="1">
      <c r="A520" s="25">
        <v>556</v>
      </c>
      <c r="B520" s="5"/>
      <c r="C520" s="47" t="s">
        <v>1004</v>
      </c>
      <c r="D520" s="35">
        <v>1520</v>
      </c>
    </row>
    <row r="521" spans="1:4" ht="16.95" customHeight="1">
      <c r="A521" s="25">
        <v>557</v>
      </c>
      <c r="B521" s="5"/>
      <c r="C521" s="47" t="s">
        <v>1005</v>
      </c>
      <c r="D521" s="35">
        <v>3040</v>
      </c>
    </row>
    <row r="522" spans="1:4" ht="16.95" customHeight="1">
      <c r="A522" s="25">
        <v>558</v>
      </c>
      <c r="B522" s="5"/>
      <c r="C522" s="47" t="s">
        <v>1006</v>
      </c>
      <c r="D522" s="35">
        <v>2530</v>
      </c>
    </row>
    <row r="523" spans="1:4" ht="16.95" customHeight="1">
      <c r="A523" s="25">
        <v>559</v>
      </c>
      <c r="B523" s="5"/>
      <c r="C523" s="47" t="s">
        <v>1007</v>
      </c>
      <c r="D523" s="35">
        <v>760</v>
      </c>
    </row>
    <row r="524" spans="1:4" ht="16.95" customHeight="1">
      <c r="A524" s="25">
        <v>560</v>
      </c>
      <c r="B524" s="5"/>
      <c r="C524" s="47" t="s">
        <v>1008</v>
      </c>
      <c r="D524" s="35">
        <v>1520</v>
      </c>
    </row>
    <row r="525" spans="1:4" ht="16.95" customHeight="1">
      <c r="A525" s="25">
        <v>561</v>
      </c>
      <c r="B525" s="5"/>
      <c r="C525" s="47" t="s">
        <v>1009</v>
      </c>
      <c r="D525" s="35">
        <v>2530</v>
      </c>
    </row>
    <row r="526" spans="1:4" ht="16.95" customHeight="1">
      <c r="A526" s="25">
        <v>562</v>
      </c>
      <c r="B526" s="5"/>
      <c r="C526" s="47" t="s">
        <v>1010</v>
      </c>
      <c r="D526" s="35">
        <v>4550</v>
      </c>
    </row>
    <row r="527" spans="1:4" ht="16.95" customHeight="1">
      <c r="A527" s="25">
        <v>563</v>
      </c>
      <c r="B527" s="5"/>
      <c r="C527" s="47" t="s">
        <v>1011</v>
      </c>
      <c r="D527" s="35">
        <v>3800</v>
      </c>
    </row>
    <row r="528" spans="1:4" ht="16.95" customHeight="1">
      <c r="A528" s="25">
        <v>569</v>
      </c>
      <c r="B528" s="5"/>
      <c r="C528" s="47" t="s">
        <v>693</v>
      </c>
      <c r="D528" s="35">
        <v>1010</v>
      </c>
    </row>
    <row r="529" spans="1:4" ht="16.95" customHeight="1">
      <c r="A529" s="25">
        <v>570</v>
      </c>
      <c r="B529" s="5"/>
      <c r="C529" s="47" t="s">
        <v>694</v>
      </c>
      <c r="D529" s="35">
        <v>2020</v>
      </c>
    </row>
    <row r="530" spans="1:4" ht="16.95" customHeight="1">
      <c r="A530" s="25">
        <v>571</v>
      </c>
      <c r="B530" s="5"/>
      <c r="C530" s="47" t="s">
        <v>695</v>
      </c>
      <c r="D530" s="35">
        <v>3040</v>
      </c>
    </row>
    <row r="531" spans="1:4" ht="16.95" customHeight="1">
      <c r="A531" s="25">
        <v>572</v>
      </c>
      <c r="B531" s="5"/>
      <c r="C531" s="47" t="s">
        <v>696</v>
      </c>
      <c r="D531" s="35">
        <v>6070</v>
      </c>
    </row>
    <row r="532" spans="1:4" ht="16.95" customHeight="1">
      <c r="A532" s="25">
        <v>573</v>
      </c>
      <c r="B532" s="5"/>
      <c r="C532" s="47" t="s">
        <v>737</v>
      </c>
      <c r="D532" s="35">
        <v>5060</v>
      </c>
    </row>
    <row r="533" spans="1:4" ht="16.95" customHeight="1">
      <c r="A533" s="25">
        <v>574</v>
      </c>
      <c r="B533" s="5"/>
      <c r="C533" s="47" t="s">
        <v>1012</v>
      </c>
      <c r="D533" s="35">
        <v>1520</v>
      </c>
    </row>
    <row r="534" spans="1:4" ht="16.95" customHeight="1">
      <c r="A534" s="25">
        <v>575</v>
      </c>
      <c r="B534" s="5"/>
      <c r="C534" s="47" t="s">
        <v>803</v>
      </c>
      <c r="D534" s="35">
        <v>3040</v>
      </c>
    </row>
    <row r="535" spans="1:4" ht="16.95" customHeight="1">
      <c r="A535" s="25">
        <v>576</v>
      </c>
      <c r="B535" s="5"/>
      <c r="C535" s="47" t="s">
        <v>804</v>
      </c>
      <c r="D535" s="35">
        <v>5060</v>
      </c>
    </row>
    <row r="536" spans="1:4" ht="16.95" customHeight="1">
      <c r="A536" s="25">
        <v>577</v>
      </c>
      <c r="B536" s="5"/>
      <c r="C536" s="47" t="s">
        <v>805</v>
      </c>
      <c r="D536" s="35">
        <v>9110</v>
      </c>
    </row>
    <row r="537" spans="1:4" ht="16.95" customHeight="1">
      <c r="A537" s="25">
        <v>578</v>
      </c>
      <c r="B537" s="5"/>
      <c r="C537" s="47" t="s">
        <v>806</v>
      </c>
      <c r="D537" s="35">
        <v>7590</v>
      </c>
    </row>
    <row r="538" spans="1:4" ht="16.95" customHeight="1">
      <c r="A538" s="25">
        <v>579</v>
      </c>
      <c r="B538" s="5"/>
      <c r="C538" s="47" t="s">
        <v>657</v>
      </c>
      <c r="D538" s="35">
        <v>350</v>
      </c>
    </row>
    <row r="539" spans="1:4" ht="30" customHeight="1">
      <c r="A539" s="25">
        <v>580</v>
      </c>
      <c r="B539" s="5"/>
      <c r="C539" s="47" t="s">
        <v>658</v>
      </c>
      <c r="D539" s="35">
        <v>10</v>
      </c>
    </row>
    <row r="540" spans="1:4" ht="15.6">
      <c r="A540" s="25">
        <v>582</v>
      </c>
      <c r="B540" s="49"/>
      <c r="C540" s="56" t="s">
        <v>667</v>
      </c>
      <c r="D540" s="35">
        <v>20</v>
      </c>
    </row>
    <row r="541" spans="1:4" ht="26.4">
      <c r="A541" s="25">
        <v>583</v>
      </c>
      <c r="B541" s="49"/>
      <c r="C541" s="57" t="s">
        <v>668</v>
      </c>
      <c r="D541" s="35">
        <v>60</v>
      </c>
    </row>
    <row r="542" spans="1:4" ht="16.95" customHeight="1">
      <c r="A542" s="25">
        <v>584</v>
      </c>
      <c r="B542" s="49"/>
      <c r="C542" s="57" t="s">
        <v>822</v>
      </c>
      <c r="D542" s="35">
        <v>12470</v>
      </c>
    </row>
    <row r="543" spans="1:4" ht="16.95" customHeight="1">
      <c r="A543" s="25">
        <v>585</v>
      </c>
      <c r="B543" s="49"/>
      <c r="C543" s="57" t="s">
        <v>823</v>
      </c>
      <c r="D543" s="35">
        <v>22280</v>
      </c>
    </row>
    <row r="544" spans="1:4" ht="16.95" customHeight="1">
      <c r="A544" s="25">
        <v>586</v>
      </c>
      <c r="B544" s="49"/>
      <c r="C544" s="56" t="s">
        <v>824</v>
      </c>
      <c r="D544" s="35">
        <v>33420</v>
      </c>
    </row>
    <row r="545" spans="1:4" ht="30" customHeight="1">
      <c r="A545" s="25">
        <v>587</v>
      </c>
      <c r="B545" s="49"/>
      <c r="C545" s="56" t="s">
        <v>827</v>
      </c>
      <c r="D545" s="35">
        <v>460</v>
      </c>
    </row>
    <row r="546" spans="1:4" ht="16.95" customHeight="1">
      <c r="A546" s="25">
        <v>588</v>
      </c>
      <c r="B546" s="49"/>
      <c r="C546" s="56" t="s">
        <v>825</v>
      </c>
      <c r="D546" s="35">
        <v>580</v>
      </c>
    </row>
    <row r="547" spans="1:4" ht="30" customHeight="1">
      <c r="A547" s="25">
        <v>589</v>
      </c>
      <c r="B547" s="52"/>
      <c r="C547" s="56" t="s">
        <v>826</v>
      </c>
      <c r="D547" s="35">
        <v>100</v>
      </c>
    </row>
    <row r="548" spans="1:4" ht="29.4" customHeight="1">
      <c r="A548" s="25">
        <v>590</v>
      </c>
      <c r="B548" s="37" t="s">
        <v>817</v>
      </c>
      <c r="C548" s="56" t="s">
        <v>821</v>
      </c>
      <c r="D548" s="35">
        <v>7150</v>
      </c>
    </row>
    <row r="549" spans="1:4" ht="16.95" customHeight="1">
      <c r="A549" s="25">
        <v>591</v>
      </c>
      <c r="B549" s="37" t="s">
        <v>818</v>
      </c>
      <c r="C549" s="56" t="s">
        <v>819</v>
      </c>
      <c r="D549" s="35">
        <v>3300</v>
      </c>
    </row>
    <row r="550" spans="1:4" ht="15.6">
      <c r="A550" s="25">
        <v>592</v>
      </c>
      <c r="B550" s="37" t="s">
        <v>818</v>
      </c>
      <c r="C550" s="47" t="s">
        <v>820</v>
      </c>
      <c r="D550" s="35">
        <v>4400</v>
      </c>
    </row>
    <row r="551" spans="1:4" ht="16.95" customHeight="1">
      <c r="A551" s="25">
        <v>593</v>
      </c>
      <c r="B551" s="5"/>
      <c r="C551" s="47" t="s">
        <v>980</v>
      </c>
      <c r="D551" s="35">
        <v>900</v>
      </c>
    </row>
    <row r="552" spans="1:4" ht="16.95" customHeight="1">
      <c r="A552" s="25">
        <v>594</v>
      </c>
      <c r="B552" s="5"/>
      <c r="C552" s="47" t="s">
        <v>981</v>
      </c>
      <c r="D552" s="35">
        <v>1800</v>
      </c>
    </row>
    <row r="553" spans="1:4" ht="16.95" customHeight="1">
      <c r="A553" s="25">
        <v>595</v>
      </c>
      <c r="B553" s="5"/>
      <c r="C553" s="47" t="s">
        <v>983</v>
      </c>
      <c r="D553" s="35">
        <v>2700</v>
      </c>
    </row>
    <row r="554" spans="1:4" ht="16.95" customHeight="1">
      <c r="A554" s="25">
        <v>596</v>
      </c>
      <c r="B554" s="5"/>
      <c r="C554" s="47" t="s">
        <v>982</v>
      </c>
      <c r="D554" s="35">
        <v>5400</v>
      </c>
    </row>
    <row r="555" spans="1:4" ht="16.95" customHeight="1">
      <c r="A555" s="25">
        <v>597</v>
      </c>
      <c r="B555" s="5"/>
      <c r="C555" s="47" t="s">
        <v>984</v>
      </c>
      <c r="D555" s="35">
        <v>4500</v>
      </c>
    </row>
    <row r="556" spans="1:4" ht="16.95" customHeight="1">
      <c r="A556" s="25">
        <v>598</v>
      </c>
      <c r="B556" s="5"/>
      <c r="C556" s="47" t="s">
        <v>985</v>
      </c>
      <c r="D556" s="35">
        <v>1350</v>
      </c>
    </row>
    <row r="557" spans="1:4" ht="16.95" customHeight="1">
      <c r="A557" s="25">
        <v>599</v>
      </c>
      <c r="B557" s="5"/>
      <c r="C557" s="47" t="s">
        <v>986</v>
      </c>
      <c r="D557" s="35">
        <v>2700</v>
      </c>
    </row>
    <row r="558" spans="1:4" ht="16.95" customHeight="1">
      <c r="A558" s="25">
        <v>600</v>
      </c>
      <c r="B558" s="5"/>
      <c r="C558" s="47" t="s">
        <v>987</v>
      </c>
      <c r="D558" s="35">
        <v>4500</v>
      </c>
    </row>
    <row r="559" spans="1:4" ht="16.95" customHeight="1">
      <c r="A559" s="25">
        <v>601</v>
      </c>
      <c r="B559" s="5"/>
      <c r="C559" s="47" t="s">
        <v>988</v>
      </c>
      <c r="D559" s="35">
        <v>8100</v>
      </c>
    </row>
    <row r="560" spans="1:4" ht="16.95" customHeight="1">
      <c r="A560" s="25">
        <v>602</v>
      </c>
      <c r="B560" s="5"/>
      <c r="C560" s="47" t="s">
        <v>992</v>
      </c>
      <c r="D560" s="35">
        <v>6750</v>
      </c>
    </row>
    <row r="561" spans="1:4" ht="16.95" customHeight="1">
      <c r="A561" s="25">
        <v>603</v>
      </c>
      <c r="B561" s="5"/>
      <c r="C561" s="47" t="s">
        <v>991</v>
      </c>
      <c r="D561" s="35">
        <v>620</v>
      </c>
    </row>
    <row r="562" spans="1:4" ht="16.95" customHeight="1">
      <c r="A562" s="25">
        <v>604</v>
      </c>
      <c r="B562" s="5"/>
      <c r="C562" s="47" t="s">
        <v>993</v>
      </c>
      <c r="D562" s="35">
        <v>1240</v>
      </c>
    </row>
    <row r="563" spans="1:4" ht="16.95" customHeight="1">
      <c r="A563" s="25">
        <v>605</v>
      </c>
      <c r="B563" s="5"/>
      <c r="C563" s="47" t="s">
        <v>994</v>
      </c>
      <c r="D563" s="35">
        <v>1860</v>
      </c>
    </row>
    <row r="564" spans="1:4" ht="16.95" customHeight="1">
      <c r="A564" s="25">
        <v>606</v>
      </c>
      <c r="B564" s="5"/>
      <c r="C564" s="47" t="s">
        <v>995</v>
      </c>
      <c r="D564" s="35">
        <v>3720</v>
      </c>
    </row>
    <row r="565" spans="1:4" ht="16.95" customHeight="1">
      <c r="A565" s="25">
        <v>607</v>
      </c>
      <c r="B565" s="5"/>
      <c r="C565" s="47" t="s">
        <v>996</v>
      </c>
      <c r="D565" s="35">
        <v>3100</v>
      </c>
    </row>
    <row r="566" spans="1:4" ht="16.95" customHeight="1">
      <c r="A566" s="25">
        <v>608</v>
      </c>
      <c r="B566" s="5"/>
      <c r="C566" s="47" t="s">
        <v>997</v>
      </c>
      <c r="D566" s="35">
        <v>930</v>
      </c>
    </row>
    <row r="567" spans="1:4" ht="16.95" customHeight="1">
      <c r="A567" s="25">
        <v>609</v>
      </c>
      <c r="B567" s="5"/>
      <c r="C567" s="47" t="s">
        <v>998</v>
      </c>
      <c r="D567" s="35">
        <v>1860</v>
      </c>
    </row>
    <row r="568" spans="1:4" ht="16.95" customHeight="1">
      <c r="A568" s="25">
        <v>610</v>
      </c>
      <c r="B568" s="5"/>
      <c r="C568" s="47" t="s">
        <v>999</v>
      </c>
      <c r="D568" s="35">
        <v>3100</v>
      </c>
    </row>
    <row r="569" spans="1:4" ht="16.95" customHeight="1">
      <c r="A569" s="25">
        <v>611</v>
      </c>
      <c r="B569" s="5"/>
      <c r="C569" s="47" t="s">
        <v>1000</v>
      </c>
      <c r="D569" s="35">
        <v>5580</v>
      </c>
    </row>
    <row r="570" spans="1:4" ht="16.95" customHeight="1">
      <c r="A570" s="25">
        <v>612</v>
      </c>
      <c r="B570" s="5"/>
      <c r="C570" s="47" t="s">
        <v>1001</v>
      </c>
      <c r="D570" s="35">
        <v>4650</v>
      </c>
    </row>
    <row r="571" spans="1:4" ht="16.95" customHeight="1">
      <c r="A571" s="25">
        <v>613</v>
      </c>
      <c r="B571" s="5"/>
      <c r="C571" s="47" t="s">
        <v>1013</v>
      </c>
      <c r="D571" s="35">
        <v>80</v>
      </c>
    </row>
    <row r="572" spans="1:4" ht="16.2" customHeight="1">
      <c r="A572" s="25">
        <v>614</v>
      </c>
      <c r="B572" s="5"/>
      <c r="C572" s="47" t="s">
        <v>1045</v>
      </c>
      <c r="D572" s="35">
        <v>1800</v>
      </c>
    </row>
    <row r="573" spans="1:4" ht="16.95" customHeight="1">
      <c r="A573" s="25">
        <v>615</v>
      </c>
      <c r="B573" s="5"/>
      <c r="C573" s="47" t="s">
        <v>1052</v>
      </c>
      <c r="D573" s="35">
        <v>3960</v>
      </c>
    </row>
    <row r="574" spans="1:4" ht="16.95" customHeight="1">
      <c r="A574" s="25">
        <v>616</v>
      </c>
      <c r="B574" s="5"/>
      <c r="C574" s="47" t="s">
        <v>1053</v>
      </c>
      <c r="D574" s="35">
        <v>5110</v>
      </c>
    </row>
    <row r="575" spans="1:4" ht="16.95" customHeight="1">
      <c r="A575" s="25">
        <v>617</v>
      </c>
      <c r="B575" s="5"/>
      <c r="C575" s="47" t="s">
        <v>1051</v>
      </c>
      <c r="D575" s="35">
        <v>2340</v>
      </c>
    </row>
    <row r="576" spans="1:4" ht="16.95" customHeight="1">
      <c r="A576" s="25">
        <v>618</v>
      </c>
      <c r="B576" s="5"/>
      <c r="C576" s="47" t="s">
        <v>1054</v>
      </c>
      <c r="D576" s="35">
        <v>670</v>
      </c>
    </row>
    <row r="577" spans="1:13" ht="16.95" customHeight="1">
      <c r="A577" s="25">
        <v>619</v>
      </c>
      <c r="B577" s="5"/>
      <c r="C577" s="47" t="s">
        <v>1056</v>
      </c>
      <c r="D577" s="35">
        <v>2020</v>
      </c>
    </row>
    <row r="578" spans="1:13" ht="16.95" customHeight="1">
      <c r="A578" s="25">
        <v>620</v>
      </c>
      <c r="B578" s="5"/>
      <c r="C578" s="47" t="s">
        <v>1057</v>
      </c>
      <c r="D578" s="35">
        <v>890</v>
      </c>
      <c r="M578" s="12">
        <v>890</v>
      </c>
    </row>
    <row r="579" spans="1:13" ht="15.6">
      <c r="A579" s="25">
        <v>621</v>
      </c>
      <c r="B579" s="49"/>
      <c r="C579" s="47" t="s">
        <v>1062</v>
      </c>
      <c r="D579" s="35">
        <v>150</v>
      </c>
    </row>
    <row r="580" spans="1:13" ht="15.6" customHeight="1">
      <c r="A580" s="25">
        <v>622</v>
      </c>
      <c r="B580" s="49"/>
      <c r="C580" s="47" t="s">
        <v>1083</v>
      </c>
      <c r="D580" s="35">
        <v>2500</v>
      </c>
    </row>
    <row r="581" spans="1:13" ht="26.4">
      <c r="A581" s="25">
        <v>623</v>
      </c>
      <c r="B581" s="49"/>
      <c r="C581" s="47" t="s">
        <v>1061</v>
      </c>
      <c r="D581" s="35">
        <v>4000</v>
      </c>
    </row>
    <row r="582" spans="1:13" ht="31.95" customHeight="1">
      <c r="A582" s="25">
        <v>624</v>
      </c>
      <c r="B582" s="5"/>
      <c r="C582" s="47" t="s">
        <v>1068</v>
      </c>
      <c r="D582" s="35">
        <v>980</v>
      </c>
    </row>
    <row r="583" spans="1:13" ht="31.95" customHeight="1">
      <c r="A583" s="25">
        <v>625</v>
      </c>
      <c r="B583" s="5"/>
      <c r="C583" s="47" t="s">
        <v>1070</v>
      </c>
      <c r="D583" s="35">
        <v>1960</v>
      </c>
    </row>
    <row r="584" spans="1:13" ht="31.95" customHeight="1">
      <c r="A584" s="25">
        <v>626</v>
      </c>
      <c r="B584" s="5"/>
      <c r="C584" s="47" t="s">
        <v>1069</v>
      </c>
      <c r="D584" s="35">
        <v>2940</v>
      </c>
    </row>
    <row r="585" spans="1:13" ht="31.95" customHeight="1">
      <c r="A585" s="25">
        <v>627</v>
      </c>
      <c r="B585" s="5"/>
      <c r="C585" s="47" t="s">
        <v>1071</v>
      </c>
      <c r="D585" s="35">
        <v>5880</v>
      </c>
    </row>
    <row r="586" spans="1:13" ht="31.95" customHeight="1">
      <c r="A586" s="25">
        <v>628</v>
      </c>
      <c r="B586" s="5"/>
      <c r="C586" s="47" t="s">
        <v>1072</v>
      </c>
      <c r="D586" s="35">
        <v>4900</v>
      </c>
    </row>
    <row r="587" spans="1:13" ht="31.95" customHeight="1">
      <c r="A587" s="25">
        <v>629</v>
      </c>
      <c r="B587" s="5"/>
      <c r="C587" s="47" t="s">
        <v>1073</v>
      </c>
      <c r="D587" s="35">
        <v>1470</v>
      </c>
    </row>
    <row r="588" spans="1:13" ht="31.95" customHeight="1">
      <c r="A588" s="25">
        <v>630</v>
      </c>
      <c r="B588" s="5"/>
      <c r="C588" s="47" t="s">
        <v>1065</v>
      </c>
      <c r="D588" s="35">
        <v>2940</v>
      </c>
    </row>
    <row r="589" spans="1:13" ht="31.95" customHeight="1">
      <c r="A589" s="25">
        <v>631</v>
      </c>
      <c r="B589" s="5"/>
      <c r="C589" s="47" t="s">
        <v>1066</v>
      </c>
      <c r="D589" s="35">
        <v>4900</v>
      </c>
    </row>
    <row r="590" spans="1:13" ht="31.95" customHeight="1">
      <c r="A590" s="25">
        <v>632</v>
      </c>
      <c r="B590" s="5"/>
      <c r="C590" s="47" t="s">
        <v>1067</v>
      </c>
      <c r="D590" s="35">
        <v>8820</v>
      </c>
    </row>
    <row r="591" spans="1:13" ht="31.95" customHeight="1">
      <c r="A591" s="25">
        <v>633</v>
      </c>
      <c r="B591" s="5"/>
      <c r="C591" s="47" t="s">
        <v>1074</v>
      </c>
      <c r="D591" s="35">
        <v>7350</v>
      </c>
    </row>
    <row r="592" spans="1:13" ht="16.95" customHeight="1">
      <c r="A592" s="25">
        <v>634</v>
      </c>
      <c r="B592" s="5"/>
      <c r="C592" s="47" t="s">
        <v>1079</v>
      </c>
      <c r="D592" s="35">
        <v>980</v>
      </c>
    </row>
    <row r="593" spans="1:4" ht="16.95" customHeight="1">
      <c r="A593" s="25">
        <v>635</v>
      </c>
      <c r="B593" s="5"/>
      <c r="C593" s="47" t="s">
        <v>1078</v>
      </c>
      <c r="D593" s="35">
        <v>1960</v>
      </c>
    </row>
    <row r="594" spans="1:4" ht="16.95" customHeight="1">
      <c r="A594" s="25">
        <v>636</v>
      </c>
      <c r="B594" s="5"/>
      <c r="C594" s="47" t="s">
        <v>1077</v>
      </c>
      <c r="D594" s="35">
        <v>2940</v>
      </c>
    </row>
    <row r="595" spans="1:4" ht="16.95" customHeight="1">
      <c r="A595" s="25">
        <v>637</v>
      </c>
      <c r="B595" s="5"/>
      <c r="C595" s="47" t="s">
        <v>1075</v>
      </c>
      <c r="D595" s="35">
        <v>5880</v>
      </c>
    </row>
    <row r="596" spans="1:4" ht="16.95" customHeight="1">
      <c r="A596" s="25">
        <v>638</v>
      </c>
      <c r="B596" s="5"/>
      <c r="C596" s="47" t="s">
        <v>1076</v>
      </c>
      <c r="D596" s="35">
        <v>4900</v>
      </c>
    </row>
    <row r="597" spans="1:4" ht="16.95" customHeight="1">
      <c r="A597" s="25">
        <v>639</v>
      </c>
      <c r="B597" s="5"/>
      <c r="C597" s="47" t="s">
        <v>1080</v>
      </c>
      <c r="D597" s="35">
        <v>1470</v>
      </c>
    </row>
    <row r="598" spans="1:4" ht="16.95" customHeight="1">
      <c r="A598" s="25">
        <v>640</v>
      </c>
      <c r="B598" s="5"/>
      <c r="C598" s="47" t="s">
        <v>1081</v>
      </c>
      <c r="D598" s="35">
        <v>2940</v>
      </c>
    </row>
    <row r="599" spans="1:4" ht="16.2" customHeight="1">
      <c r="A599" s="25">
        <v>641</v>
      </c>
      <c r="B599" s="5"/>
      <c r="C599" s="47" t="s">
        <v>1084</v>
      </c>
      <c r="D599" s="35">
        <v>4900</v>
      </c>
    </row>
    <row r="600" spans="1:4" ht="15.6" customHeight="1">
      <c r="A600" s="25">
        <v>642</v>
      </c>
      <c r="B600" s="5"/>
      <c r="C600" s="47" t="s">
        <v>1085</v>
      </c>
      <c r="D600" s="35">
        <v>8820</v>
      </c>
    </row>
    <row r="601" spans="1:4" ht="16.95" customHeight="1">
      <c r="A601" s="25">
        <v>643</v>
      </c>
      <c r="B601" s="5"/>
      <c r="C601" s="47" t="s">
        <v>1086</v>
      </c>
      <c r="D601" s="35">
        <v>7350</v>
      </c>
    </row>
    <row r="602" spans="1:4" ht="31.95" customHeight="1">
      <c r="A602" s="25">
        <v>644</v>
      </c>
      <c r="B602" s="5"/>
      <c r="C602" s="47" t="s">
        <v>1089</v>
      </c>
      <c r="D602" s="35">
        <v>4020</v>
      </c>
    </row>
    <row r="603" spans="1:4" ht="31.95" customHeight="1">
      <c r="A603" s="25">
        <v>645</v>
      </c>
      <c r="B603" s="5"/>
      <c r="C603" s="47" t="s">
        <v>1090</v>
      </c>
      <c r="D603" s="35">
        <v>5250</v>
      </c>
    </row>
    <row r="604" spans="1:4" s="55" customFormat="1" ht="15.6">
      <c r="A604" s="25">
        <v>646</v>
      </c>
      <c r="B604" s="49"/>
      <c r="C604" s="47" t="s">
        <v>1105</v>
      </c>
      <c r="D604" s="35">
        <v>50</v>
      </c>
    </row>
    <row r="605" spans="1:4" s="55" customFormat="1" ht="15.6">
      <c r="A605" s="25">
        <v>647</v>
      </c>
      <c r="B605" s="49"/>
      <c r="C605" s="47" t="s">
        <v>1131</v>
      </c>
      <c r="D605" s="35">
        <v>140</v>
      </c>
    </row>
    <row r="606" spans="1:4" s="55" customFormat="1" ht="15.6">
      <c r="A606" s="25">
        <v>648</v>
      </c>
      <c r="B606" s="49"/>
      <c r="C606" s="47" t="s">
        <v>1106</v>
      </c>
      <c r="D606" s="35">
        <v>120</v>
      </c>
    </row>
    <row r="607" spans="1:4" s="55" customFormat="1" ht="15.6">
      <c r="A607" s="25">
        <v>649</v>
      </c>
      <c r="B607" s="49"/>
      <c r="C607" s="47" t="s">
        <v>1107</v>
      </c>
      <c r="D607" s="35">
        <v>240</v>
      </c>
    </row>
    <row r="608" spans="1:4" s="55" customFormat="1" ht="15.6">
      <c r="A608" s="25">
        <v>650</v>
      </c>
      <c r="B608" s="49"/>
      <c r="C608" s="47" t="s">
        <v>1108</v>
      </c>
      <c r="D608" s="35">
        <v>360</v>
      </c>
    </row>
    <row r="609" spans="1:4" s="55" customFormat="1" ht="15.6">
      <c r="A609" s="25">
        <v>651</v>
      </c>
      <c r="B609" s="49"/>
      <c r="C609" s="47" t="s">
        <v>1098</v>
      </c>
      <c r="D609" s="35">
        <v>720</v>
      </c>
    </row>
    <row r="610" spans="1:4" s="55" customFormat="1" ht="15.6">
      <c r="A610" s="25">
        <v>652</v>
      </c>
      <c r="B610" s="49"/>
      <c r="C610" s="47" t="s">
        <v>1099</v>
      </c>
      <c r="D610" s="35">
        <v>600</v>
      </c>
    </row>
    <row r="611" spans="1:4" s="55" customFormat="1" ht="15.6">
      <c r="A611" s="25">
        <v>653</v>
      </c>
      <c r="B611" s="49"/>
      <c r="C611" s="47" t="s">
        <v>1100</v>
      </c>
      <c r="D611" s="35">
        <v>180</v>
      </c>
    </row>
    <row r="612" spans="1:4" s="55" customFormat="1" ht="26.4">
      <c r="A612" s="25">
        <v>654</v>
      </c>
      <c r="B612" s="49"/>
      <c r="C612" s="47" t="s">
        <v>1101</v>
      </c>
      <c r="D612" s="35">
        <v>360</v>
      </c>
    </row>
    <row r="613" spans="1:4" s="55" customFormat="1" ht="26.4">
      <c r="A613" s="25">
        <v>655</v>
      </c>
      <c r="B613" s="49"/>
      <c r="C613" s="47" t="s">
        <v>1102</v>
      </c>
      <c r="D613" s="35">
        <v>600</v>
      </c>
    </row>
    <row r="614" spans="1:4" s="55" customFormat="1" ht="13.2" customHeight="1">
      <c r="A614" s="25">
        <v>656</v>
      </c>
      <c r="B614" s="49"/>
      <c r="C614" s="47" t="s">
        <v>1103</v>
      </c>
      <c r="D614" s="35">
        <v>1080</v>
      </c>
    </row>
    <row r="615" spans="1:4" s="55" customFormat="1" ht="15.6">
      <c r="A615" s="25">
        <v>657</v>
      </c>
      <c r="B615" s="49"/>
      <c r="C615" s="47" t="s">
        <v>1104</v>
      </c>
      <c r="D615" s="35">
        <v>900</v>
      </c>
    </row>
    <row r="616" spans="1:4" s="55" customFormat="1" ht="15.6">
      <c r="A616" s="25">
        <v>658</v>
      </c>
      <c r="B616" s="49"/>
      <c r="C616" s="47" t="s">
        <v>1111</v>
      </c>
      <c r="D616" s="35">
        <v>560</v>
      </c>
    </row>
    <row r="617" spans="1:4" s="55" customFormat="1" ht="15.6">
      <c r="A617" s="25">
        <v>659</v>
      </c>
      <c r="B617" s="49"/>
      <c r="C617" s="47" t="s">
        <v>1112</v>
      </c>
      <c r="D617" s="35">
        <v>1120</v>
      </c>
    </row>
    <row r="618" spans="1:4" s="55" customFormat="1" ht="15.6">
      <c r="A618" s="25">
        <v>660</v>
      </c>
      <c r="B618" s="49"/>
      <c r="C618" s="47" t="s">
        <v>1113</v>
      </c>
      <c r="D618" s="35">
        <v>1680</v>
      </c>
    </row>
    <row r="619" spans="1:4" s="55" customFormat="1" ht="15.6">
      <c r="A619" s="25">
        <v>661</v>
      </c>
      <c r="B619" s="49"/>
      <c r="C619" s="47" t="s">
        <v>1114</v>
      </c>
      <c r="D619" s="35">
        <v>3360</v>
      </c>
    </row>
    <row r="620" spans="1:4" s="55" customFormat="1" ht="15.6">
      <c r="A620" s="25">
        <v>662</v>
      </c>
      <c r="B620" s="49"/>
      <c r="C620" s="47" t="s">
        <v>1115</v>
      </c>
      <c r="D620" s="35">
        <v>2800</v>
      </c>
    </row>
    <row r="621" spans="1:4" s="55" customFormat="1" ht="15.6">
      <c r="A621" s="25">
        <v>663</v>
      </c>
      <c r="B621" s="49"/>
      <c r="C621" s="47" t="s">
        <v>1116</v>
      </c>
      <c r="D621" s="35">
        <v>840</v>
      </c>
    </row>
    <row r="622" spans="1:4" s="55" customFormat="1" ht="15.6">
      <c r="A622" s="25">
        <v>664</v>
      </c>
      <c r="B622" s="49"/>
      <c r="C622" s="47" t="s">
        <v>1117</v>
      </c>
      <c r="D622" s="35">
        <v>1660</v>
      </c>
    </row>
    <row r="623" spans="1:4" s="55" customFormat="1" ht="15.6">
      <c r="A623" s="25">
        <v>665</v>
      </c>
      <c r="B623" s="49"/>
      <c r="C623" s="47" t="s">
        <v>1118</v>
      </c>
      <c r="D623" s="35">
        <v>2800</v>
      </c>
    </row>
    <row r="624" spans="1:4" s="55" customFormat="1" ht="15.6">
      <c r="A624" s="25">
        <v>666</v>
      </c>
      <c r="B624" s="49"/>
      <c r="C624" s="47" t="s">
        <v>1119</v>
      </c>
      <c r="D624" s="35">
        <v>5040</v>
      </c>
    </row>
    <row r="625" spans="1:4" s="55" customFormat="1" ht="15.6">
      <c r="A625" s="25">
        <v>667</v>
      </c>
      <c r="B625" s="49"/>
      <c r="C625" s="47" t="s">
        <v>1120</v>
      </c>
      <c r="D625" s="35">
        <v>4200</v>
      </c>
    </row>
    <row r="626" spans="1:4" s="55" customFormat="1" ht="15.6">
      <c r="A626" s="25">
        <v>668</v>
      </c>
      <c r="B626" s="49"/>
      <c r="C626" s="47" t="s">
        <v>1121</v>
      </c>
      <c r="D626" s="35">
        <v>520</v>
      </c>
    </row>
    <row r="627" spans="1:4" s="55" customFormat="1" ht="15.6">
      <c r="A627" s="25">
        <v>669</v>
      </c>
      <c r="B627" s="49"/>
      <c r="C627" s="47" t="s">
        <v>1122</v>
      </c>
      <c r="D627" s="35">
        <v>1040</v>
      </c>
    </row>
    <row r="628" spans="1:4" s="55" customFormat="1" ht="15.6">
      <c r="A628" s="25">
        <v>670</v>
      </c>
      <c r="B628" s="49"/>
      <c r="C628" s="47" t="s">
        <v>1123</v>
      </c>
      <c r="D628" s="35">
        <v>1560</v>
      </c>
    </row>
    <row r="629" spans="1:4" s="55" customFormat="1" ht="15.6">
      <c r="A629" s="25">
        <v>671</v>
      </c>
      <c r="B629" s="49"/>
      <c r="C629" s="47" t="s">
        <v>1124</v>
      </c>
      <c r="D629" s="35">
        <v>3120</v>
      </c>
    </row>
    <row r="630" spans="1:4" s="55" customFormat="1" ht="15.6">
      <c r="A630" s="25">
        <v>672</v>
      </c>
      <c r="B630" s="49"/>
      <c r="C630" s="47" t="s">
        <v>1125</v>
      </c>
      <c r="D630" s="35">
        <v>2600</v>
      </c>
    </row>
    <row r="631" spans="1:4" s="55" customFormat="1" ht="15.6">
      <c r="A631" s="25">
        <v>673</v>
      </c>
      <c r="B631" s="49"/>
      <c r="C631" s="47" t="s">
        <v>1126</v>
      </c>
      <c r="D631" s="35">
        <v>780</v>
      </c>
    </row>
    <row r="632" spans="1:4" s="55" customFormat="1" ht="15.6">
      <c r="A632" s="25">
        <v>674</v>
      </c>
      <c r="B632" s="49"/>
      <c r="C632" s="47" t="s">
        <v>1127</v>
      </c>
      <c r="D632" s="35">
        <v>1560</v>
      </c>
    </row>
    <row r="633" spans="1:4" s="55" customFormat="1" ht="15.6">
      <c r="A633" s="25">
        <v>675</v>
      </c>
      <c r="B633" s="49"/>
      <c r="C633" s="47" t="s">
        <v>1128</v>
      </c>
      <c r="D633" s="35">
        <v>2600</v>
      </c>
    </row>
    <row r="634" spans="1:4" s="55" customFormat="1" ht="15.6">
      <c r="A634" s="25">
        <v>676</v>
      </c>
      <c r="B634" s="49"/>
      <c r="C634" s="47" t="s">
        <v>1129</v>
      </c>
      <c r="D634" s="35">
        <v>4680</v>
      </c>
    </row>
    <row r="635" spans="1:4" ht="15.6">
      <c r="A635" s="25">
        <v>677</v>
      </c>
      <c r="B635" s="49"/>
      <c r="C635" s="47" t="s">
        <v>1130</v>
      </c>
      <c r="D635" s="35">
        <v>3900</v>
      </c>
    </row>
    <row r="636" spans="1:4" ht="15.6">
      <c r="A636" s="25">
        <v>678</v>
      </c>
      <c r="B636" s="49"/>
      <c r="C636" s="47" t="s">
        <v>1134</v>
      </c>
      <c r="D636" s="35">
        <v>80</v>
      </c>
    </row>
    <row r="637" spans="1:4" ht="26.4">
      <c r="A637" s="25">
        <v>679</v>
      </c>
      <c r="B637" s="49"/>
      <c r="C637" s="47" t="s">
        <v>1138</v>
      </c>
      <c r="D637" s="35">
        <v>110</v>
      </c>
    </row>
    <row r="638" spans="1:4" ht="15.6">
      <c r="A638" s="25">
        <v>680</v>
      </c>
      <c r="B638" s="49"/>
      <c r="C638" s="47" t="s">
        <v>1139</v>
      </c>
      <c r="D638" s="35">
        <v>220</v>
      </c>
    </row>
    <row r="639" spans="1:4" ht="15.6">
      <c r="A639" s="25">
        <v>681</v>
      </c>
      <c r="B639" s="49"/>
      <c r="C639" s="47" t="s">
        <v>1140</v>
      </c>
      <c r="D639" s="35">
        <v>440</v>
      </c>
    </row>
    <row r="640" spans="1:4" ht="15.6">
      <c r="A640" s="25">
        <v>682</v>
      </c>
      <c r="B640" s="49"/>
      <c r="C640" s="47" t="s">
        <v>1141</v>
      </c>
      <c r="D640" s="35">
        <v>660</v>
      </c>
    </row>
    <row r="641" spans="1:4" ht="15.6">
      <c r="A641" s="25">
        <v>683</v>
      </c>
      <c r="B641" s="49"/>
      <c r="C641" s="47" t="s">
        <v>1142</v>
      </c>
      <c r="D641" s="35">
        <v>1320</v>
      </c>
    </row>
    <row r="642" spans="1:4" ht="15.6">
      <c r="A642" s="25">
        <v>684</v>
      </c>
      <c r="B642" s="49"/>
      <c r="C642" s="47" t="s">
        <v>1143</v>
      </c>
      <c r="D642" s="35">
        <v>1100</v>
      </c>
    </row>
    <row r="643" spans="1:4" ht="15.6">
      <c r="A643" s="25">
        <v>685</v>
      </c>
      <c r="B643" s="49"/>
      <c r="C643" s="47" t="s">
        <v>1144</v>
      </c>
      <c r="D643" s="35">
        <v>330</v>
      </c>
    </row>
    <row r="644" spans="1:4" ht="15" customHeight="1">
      <c r="A644" s="25">
        <v>686</v>
      </c>
      <c r="B644" s="49"/>
      <c r="C644" s="47" t="s">
        <v>1145</v>
      </c>
      <c r="D644" s="35">
        <v>660</v>
      </c>
    </row>
    <row r="645" spans="1:4" ht="16.2" customHeight="1">
      <c r="A645" s="25">
        <v>687</v>
      </c>
      <c r="B645" s="49"/>
      <c r="C645" s="47" t="s">
        <v>1148</v>
      </c>
      <c r="D645" s="35">
        <v>1100</v>
      </c>
    </row>
    <row r="646" spans="1:4" ht="16.8" customHeight="1">
      <c r="A646" s="25">
        <v>688</v>
      </c>
      <c r="B646" s="49"/>
      <c r="C646" s="47" t="s">
        <v>1147</v>
      </c>
      <c r="D646" s="35">
        <v>1980</v>
      </c>
    </row>
    <row r="647" spans="1:4" ht="15.6">
      <c r="A647" s="25">
        <v>689</v>
      </c>
      <c r="B647" s="49"/>
      <c r="C647" s="47" t="s">
        <v>1146</v>
      </c>
      <c r="D647" s="35">
        <v>1650</v>
      </c>
    </row>
    <row r="648" spans="1:4" ht="27.6" customHeight="1">
      <c r="A648" s="25">
        <v>690</v>
      </c>
      <c r="B648" s="49"/>
      <c r="C648" s="57" t="s">
        <v>1151</v>
      </c>
      <c r="D648" s="35">
        <v>5385</v>
      </c>
    </row>
    <row r="649" spans="1:4" ht="27.6" customHeight="1">
      <c r="A649" s="25">
        <v>691</v>
      </c>
      <c r="B649" s="49"/>
      <c r="C649" s="57" t="s">
        <v>1153</v>
      </c>
      <c r="D649" s="35">
        <v>170</v>
      </c>
    </row>
    <row r="650" spans="1:4" ht="15.6">
      <c r="A650" s="25">
        <v>692</v>
      </c>
      <c r="B650" s="49"/>
      <c r="C650" s="47" t="s">
        <v>1168</v>
      </c>
      <c r="D650" s="35">
        <v>500</v>
      </c>
    </row>
    <row r="651" spans="1:4" ht="15.6">
      <c r="A651" s="25">
        <v>693</v>
      </c>
      <c r="B651" s="49"/>
      <c r="C651" s="47" t="s">
        <v>1169</v>
      </c>
      <c r="D651" s="35">
        <v>1000</v>
      </c>
    </row>
    <row r="652" spans="1:4" ht="15.6">
      <c r="A652" s="25">
        <v>694</v>
      </c>
      <c r="B652" s="49"/>
      <c r="C652" s="47" t="s">
        <v>1170</v>
      </c>
      <c r="D652" s="35">
        <v>1500</v>
      </c>
    </row>
    <row r="653" spans="1:4" ht="16.95" customHeight="1">
      <c r="A653" s="25">
        <v>695</v>
      </c>
      <c r="B653" s="49"/>
      <c r="C653" s="47" t="s">
        <v>1171</v>
      </c>
      <c r="D653" s="35">
        <v>3000</v>
      </c>
    </row>
    <row r="654" spans="1:4" ht="16.95" customHeight="1">
      <c r="A654" s="25">
        <v>696</v>
      </c>
      <c r="B654" s="49"/>
      <c r="C654" s="47" t="s">
        <v>1172</v>
      </c>
      <c r="D654" s="35">
        <v>2500</v>
      </c>
    </row>
    <row r="655" spans="1:4" ht="16.95" customHeight="1">
      <c r="A655" s="25">
        <v>697</v>
      </c>
      <c r="B655" s="49"/>
      <c r="C655" s="47" t="s">
        <v>1173</v>
      </c>
      <c r="D655" s="35">
        <v>750</v>
      </c>
    </row>
    <row r="656" spans="1:4" ht="16.95" customHeight="1">
      <c r="A656" s="25">
        <v>698</v>
      </c>
      <c r="B656" s="49"/>
      <c r="C656" s="47" t="s">
        <v>1174</v>
      </c>
      <c r="D656" s="35">
        <v>1500</v>
      </c>
    </row>
    <row r="657" spans="1:4" ht="16.95" customHeight="1">
      <c r="A657" s="25">
        <v>699</v>
      </c>
      <c r="B657" s="49"/>
      <c r="C657" s="47" t="s">
        <v>1175</v>
      </c>
      <c r="D657" s="35">
        <v>2500</v>
      </c>
    </row>
    <row r="658" spans="1:4" ht="16.95" customHeight="1">
      <c r="A658" s="25">
        <v>700</v>
      </c>
      <c r="B658" s="49"/>
      <c r="C658" s="47" t="s">
        <v>1176</v>
      </c>
      <c r="D658" s="35">
        <v>4500</v>
      </c>
    </row>
    <row r="659" spans="1:4" ht="16.95" customHeight="1">
      <c r="A659" s="25">
        <v>701</v>
      </c>
      <c r="B659" s="49"/>
      <c r="C659" s="47" t="s">
        <v>1177</v>
      </c>
      <c r="D659" s="35">
        <v>3750</v>
      </c>
    </row>
    <row r="660" spans="1:4" ht="26.4" customHeight="1">
      <c r="A660" s="25">
        <v>702</v>
      </c>
      <c r="B660" s="49"/>
      <c r="C660" s="47" t="s">
        <v>1180</v>
      </c>
      <c r="D660" s="35">
        <v>170</v>
      </c>
    </row>
    <row r="661" spans="1:4" ht="16.95" customHeight="1">
      <c r="A661" s="25">
        <v>703</v>
      </c>
      <c r="B661" s="49"/>
      <c r="C661" s="47" t="s">
        <v>1179</v>
      </c>
      <c r="D661" s="35">
        <v>120</v>
      </c>
    </row>
    <row r="662" spans="1:4" ht="16.95" customHeight="1">
      <c r="A662" s="25">
        <v>704</v>
      </c>
      <c r="B662" s="49"/>
      <c r="C662" s="47" t="s">
        <v>1181</v>
      </c>
      <c r="D662" s="35">
        <v>200</v>
      </c>
    </row>
    <row r="663" spans="1:4" ht="16.95" customHeight="1">
      <c r="A663" s="25">
        <v>705</v>
      </c>
      <c r="B663" s="49"/>
      <c r="C663" s="47" t="s">
        <v>1253</v>
      </c>
      <c r="D663" s="35">
        <v>4910</v>
      </c>
    </row>
    <row r="664" spans="1:4" ht="16.95" customHeight="1">
      <c r="A664" s="25">
        <v>706</v>
      </c>
      <c r="B664" s="49"/>
      <c r="C664" s="47" t="s">
        <v>1254</v>
      </c>
      <c r="D664" s="35">
        <v>1910</v>
      </c>
    </row>
    <row r="665" spans="1:4" ht="16.95" customHeight="1">
      <c r="A665" s="25">
        <v>707</v>
      </c>
      <c r="B665" s="49"/>
      <c r="C665" s="47" t="s">
        <v>1253</v>
      </c>
      <c r="D665" s="35">
        <v>4200</v>
      </c>
    </row>
    <row r="666" spans="1:4" ht="16.95" customHeight="1">
      <c r="A666" s="25">
        <v>708</v>
      </c>
      <c r="B666" s="49"/>
      <c r="C666" s="47" t="s">
        <v>1255</v>
      </c>
      <c r="D666" s="35">
        <v>300</v>
      </c>
    </row>
    <row r="667" spans="1:4" ht="16.95" customHeight="1">
      <c r="A667" s="25">
        <v>709</v>
      </c>
      <c r="B667" s="49"/>
      <c r="C667" s="47" t="s">
        <v>1249</v>
      </c>
      <c r="D667" s="35">
        <v>330</v>
      </c>
    </row>
    <row r="668" spans="1:4" ht="16.95" customHeight="1">
      <c r="A668" s="25">
        <v>710</v>
      </c>
      <c r="B668" s="49"/>
      <c r="C668" s="47" t="s">
        <v>1251</v>
      </c>
      <c r="D668" s="35">
        <v>380</v>
      </c>
    </row>
    <row r="669" spans="1:4" ht="16.95" customHeight="1">
      <c r="A669" s="25">
        <v>711</v>
      </c>
      <c r="B669" s="49"/>
      <c r="C669" s="47" t="s">
        <v>1256</v>
      </c>
      <c r="D669" s="35">
        <v>4930</v>
      </c>
    </row>
    <row r="670" spans="1:4" ht="16.95" customHeight="1">
      <c r="A670" s="25">
        <v>712</v>
      </c>
      <c r="B670" s="49"/>
      <c r="C670" s="47" t="s">
        <v>1250</v>
      </c>
      <c r="D670" s="35">
        <v>7350</v>
      </c>
    </row>
    <row r="671" spans="1:4" ht="16.95" customHeight="1">
      <c r="A671" s="25">
        <v>713</v>
      </c>
      <c r="B671" s="49"/>
      <c r="C671" s="47" t="s">
        <v>1259</v>
      </c>
      <c r="D671" s="35">
        <v>2000</v>
      </c>
    </row>
    <row r="672" spans="1:4" ht="16.95" customHeight="1">
      <c r="A672" s="25">
        <v>714</v>
      </c>
      <c r="B672" s="49"/>
      <c r="C672" s="47" t="s">
        <v>1273</v>
      </c>
      <c r="D672" s="35">
        <v>580</v>
      </c>
    </row>
    <row r="673" spans="1:4" ht="16.95" customHeight="1">
      <c r="A673" s="25">
        <v>715</v>
      </c>
      <c r="B673" s="49"/>
      <c r="C673" s="47" t="s">
        <v>1274</v>
      </c>
      <c r="D673" s="35">
        <v>1160</v>
      </c>
    </row>
    <row r="674" spans="1:4" ht="16.95" customHeight="1">
      <c r="A674" s="25">
        <v>716</v>
      </c>
      <c r="B674" s="49"/>
      <c r="C674" s="47" t="s">
        <v>1275</v>
      </c>
      <c r="D674" s="35">
        <v>1740</v>
      </c>
    </row>
    <row r="675" spans="1:4" ht="16.95" customHeight="1">
      <c r="A675" s="25">
        <v>717</v>
      </c>
      <c r="B675" s="49"/>
      <c r="C675" s="47" t="s">
        <v>1276</v>
      </c>
      <c r="D675" s="35">
        <v>3480</v>
      </c>
    </row>
    <row r="676" spans="1:4" ht="16.95" customHeight="1">
      <c r="A676" s="25">
        <v>718</v>
      </c>
      <c r="B676" s="49"/>
      <c r="C676" s="47" t="s">
        <v>1277</v>
      </c>
      <c r="D676" s="35">
        <v>2900</v>
      </c>
    </row>
    <row r="677" spans="1:4" ht="16.95" customHeight="1">
      <c r="A677" s="25">
        <v>719</v>
      </c>
      <c r="B677" s="49"/>
      <c r="C677" s="47" t="s">
        <v>1278</v>
      </c>
      <c r="D677" s="35">
        <v>870</v>
      </c>
    </row>
    <row r="678" spans="1:4" ht="16.95" customHeight="1">
      <c r="A678" s="25">
        <v>720</v>
      </c>
      <c r="B678" s="49"/>
      <c r="C678" s="47" t="s">
        <v>1279</v>
      </c>
      <c r="D678" s="35">
        <v>1740</v>
      </c>
    </row>
    <row r="679" spans="1:4" ht="16.95" customHeight="1">
      <c r="A679" s="25">
        <v>721</v>
      </c>
      <c r="B679" s="49"/>
      <c r="C679" s="47" t="s">
        <v>1280</v>
      </c>
      <c r="D679" s="35">
        <v>2900</v>
      </c>
    </row>
    <row r="680" spans="1:4" ht="16.95" customHeight="1">
      <c r="A680" s="25">
        <v>722</v>
      </c>
      <c r="B680" s="49"/>
      <c r="C680" s="47" t="s">
        <v>1281</v>
      </c>
      <c r="D680" s="35">
        <v>5220</v>
      </c>
    </row>
    <row r="681" spans="1:4" ht="16.95" customHeight="1">
      <c r="A681" s="25">
        <v>723</v>
      </c>
      <c r="B681" s="49"/>
      <c r="C681" s="47" t="s">
        <v>1282</v>
      </c>
      <c r="D681" s="35">
        <v>4350</v>
      </c>
    </row>
    <row r="682" spans="1:4" ht="16.95" customHeight="1">
      <c r="A682" s="25">
        <v>724</v>
      </c>
      <c r="B682" s="49"/>
      <c r="C682" s="47" t="s">
        <v>1266</v>
      </c>
      <c r="D682" s="35">
        <v>170</v>
      </c>
    </row>
    <row r="683" spans="1:4" ht="16.95" customHeight="1">
      <c r="A683" s="25">
        <v>725</v>
      </c>
      <c r="B683" s="49"/>
      <c r="C683" s="47" t="s">
        <v>1267</v>
      </c>
      <c r="D683" s="35">
        <v>100</v>
      </c>
    </row>
    <row r="684" spans="1:4" ht="16.95" customHeight="1">
      <c r="A684" s="25">
        <v>726</v>
      </c>
      <c r="B684" s="49"/>
      <c r="C684" s="47" t="s">
        <v>1268</v>
      </c>
      <c r="D684" s="35">
        <v>150</v>
      </c>
    </row>
    <row r="685" spans="1:4" ht="16.95" customHeight="1">
      <c r="A685" s="25">
        <v>727</v>
      </c>
      <c r="B685" s="49"/>
      <c r="C685" s="47" t="s">
        <v>1269</v>
      </c>
      <c r="D685" s="35">
        <v>160</v>
      </c>
    </row>
    <row r="686" spans="1:4" ht="16.95" customHeight="1">
      <c r="A686" s="25">
        <v>728</v>
      </c>
      <c r="B686" s="49"/>
      <c r="C686" s="47" t="s">
        <v>1270</v>
      </c>
      <c r="D686" s="35">
        <v>130</v>
      </c>
    </row>
    <row r="687" spans="1:4" ht="16.95" customHeight="1">
      <c r="A687" s="25">
        <v>729</v>
      </c>
      <c r="B687" s="49"/>
      <c r="C687" s="47" t="s">
        <v>1271</v>
      </c>
      <c r="D687" s="35">
        <v>100</v>
      </c>
    </row>
    <row r="688" spans="1:4" ht="41.4" customHeight="1">
      <c r="A688" s="25">
        <v>730</v>
      </c>
      <c r="B688" s="49"/>
      <c r="C688" s="47" t="s">
        <v>1311</v>
      </c>
      <c r="D688" s="35">
        <v>2020</v>
      </c>
    </row>
    <row r="689" spans="1:4" ht="34.799999999999997" customHeight="1">
      <c r="A689" s="25">
        <v>731</v>
      </c>
      <c r="B689" s="49"/>
      <c r="C689" s="47" t="s">
        <v>1310</v>
      </c>
      <c r="D689" s="35">
        <v>1000</v>
      </c>
    </row>
    <row r="690" spans="1:4" ht="15" customHeight="1">
      <c r="A690" s="25">
        <v>732</v>
      </c>
      <c r="B690" s="49"/>
      <c r="C690" s="47" t="s">
        <v>1356</v>
      </c>
      <c r="D690" s="35">
        <v>320</v>
      </c>
    </row>
    <row r="691" spans="1:4" ht="15" customHeight="1">
      <c r="A691" s="25">
        <v>733</v>
      </c>
      <c r="B691" s="49"/>
      <c r="C691" s="47" t="s">
        <v>1357</v>
      </c>
      <c r="D691" s="35">
        <v>320</v>
      </c>
    </row>
    <row r="692" spans="1:4" ht="16.95" customHeight="1">
      <c r="A692" s="25">
        <v>734</v>
      </c>
      <c r="B692" s="49"/>
      <c r="C692" s="47" t="s">
        <v>1358</v>
      </c>
      <c r="D692" s="35">
        <v>40</v>
      </c>
    </row>
    <row r="693" spans="1:4" ht="15" customHeight="1">
      <c r="A693" s="25">
        <v>735</v>
      </c>
      <c r="B693" s="49"/>
      <c r="C693" s="47" t="s">
        <v>1312</v>
      </c>
      <c r="D693" s="35">
        <v>640</v>
      </c>
    </row>
    <row r="694" spans="1:4" ht="15" customHeight="1">
      <c r="A694" s="25">
        <v>736</v>
      </c>
      <c r="B694" s="49"/>
      <c r="C694" s="47" t="s">
        <v>1313</v>
      </c>
      <c r="D694" s="35">
        <v>1280</v>
      </c>
    </row>
    <row r="695" spans="1:4" ht="15" customHeight="1">
      <c r="A695" s="25">
        <v>737</v>
      </c>
      <c r="B695" s="49"/>
      <c r="C695" s="47" t="s">
        <v>1314</v>
      </c>
      <c r="D695" s="35">
        <v>1920</v>
      </c>
    </row>
    <row r="696" spans="1:4" ht="15" customHeight="1">
      <c r="A696" s="25">
        <v>738</v>
      </c>
      <c r="B696" s="49"/>
      <c r="C696" s="47" t="s">
        <v>1315</v>
      </c>
      <c r="D696" s="35">
        <v>3840</v>
      </c>
    </row>
    <row r="697" spans="1:4" ht="15" customHeight="1">
      <c r="A697" s="25">
        <v>739</v>
      </c>
      <c r="B697" s="49"/>
      <c r="C697" s="47" t="s">
        <v>1316</v>
      </c>
      <c r="D697" s="35">
        <v>3200</v>
      </c>
    </row>
    <row r="698" spans="1:4" ht="16.95" customHeight="1">
      <c r="A698" s="25">
        <v>740</v>
      </c>
      <c r="B698" s="49"/>
      <c r="C698" s="47" t="s">
        <v>1317</v>
      </c>
      <c r="D698" s="35">
        <v>960</v>
      </c>
    </row>
    <row r="699" spans="1:4" ht="16.95" customHeight="1">
      <c r="A699" s="25">
        <v>741</v>
      </c>
      <c r="B699" s="49"/>
      <c r="C699" s="47" t="s">
        <v>1318</v>
      </c>
      <c r="D699" s="35">
        <v>1920</v>
      </c>
    </row>
    <row r="700" spans="1:4" ht="16.95" customHeight="1">
      <c r="A700" s="25">
        <v>742</v>
      </c>
      <c r="B700" s="49"/>
      <c r="C700" s="47" t="s">
        <v>1319</v>
      </c>
      <c r="D700" s="35">
        <v>3200</v>
      </c>
    </row>
    <row r="701" spans="1:4" ht="16.95" customHeight="1">
      <c r="A701" s="25">
        <v>743</v>
      </c>
      <c r="B701" s="49"/>
      <c r="C701" s="47" t="s">
        <v>1320</v>
      </c>
      <c r="D701" s="35">
        <v>5760</v>
      </c>
    </row>
    <row r="702" spans="1:4" s="232" customFormat="1" ht="16.95" customHeight="1">
      <c r="A702" s="277">
        <v>744</v>
      </c>
      <c r="B702" s="278"/>
      <c r="C702" s="279" t="s">
        <v>1321</v>
      </c>
      <c r="D702" s="280">
        <v>4800</v>
      </c>
    </row>
    <row r="703" spans="1:4" s="232" customFormat="1" ht="16.95" customHeight="1">
      <c r="A703" s="277">
        <v>745</v>
      </c>
      <c r="B703" s="278"/>
      <c r="C703" s="279" t="s">
        <v>1324</v>
      </c>
      <c r="D703" s="280">
        <v>160</v>
      </c>
    </row>
    <row r="704" spans="1:4" s="232" customFormat="1" ht="16.95" customHeight="1">
      <c r="A704" s="277">
        <v>746</v>
      </c>
      <c r="B704" s="278"/>
      <c r="C704" s="279" t="s">
        <v>1325</v>
      </c>
      <c r="D704" s="280">
        <v>320</v>
      </c>
    </row>
    <row r="705" spans="1:4" s="232" customFormat="1" ht="16.95" customHeight="1">
      <c r="A705" s="277">
        <v>747</v>
      </c>
      <c r="B705" s="278"/>
      <c r="C705" s="279" t="s">
        <v>1326</v>
      </c>
      <c r="D705" s="280">
        <v>480</v>
      </c>
    </row>
    <row r="706" spans="1:4" s="232" customFormat="1" ht="16.95" customHeight="1">
      <c r="A706" s="277">
        <v>748</v>
      </c>
      <c r="B706" s="278"/>
      <c r="C706" s="279" t="s">
        <v>1327</v>
      </c>
      <c r="D706" s="280">
        <v>960</v>
      </c>
    </row>
    <row r="707" spans="1:4" s="232" customFormat="1" ht="16.95" customHeight="1">
      <c r="A707" s="277">
        <v>749</v>
      </c>
      <c r="B707" s="278"/>
      <c r="C707" s="279" t="s">
        <v>1328</v>
      </c>
      <c r="D707" s="280">
        <v>800</v>
      </c>
    </row>
    <row r="708" spans="1:4" s="232" customFormat="1" ht="16.95" customHeight="1">
      <c r="A708" s="277">
        <v>750</v>
      </c>
      <c r="B708" s="278"/>
      <c r="C708" s="279" t="s">
        <v>1329</v>
      </c>
      <c r="D708" s="280">
        <v>240</v>
      </c>
    </row>
    <row r="709" spans="1:4" s="232" customFormat="1" ht="16.95" customHeight="1">
      <c r="A709" s="277">
        <v>751</v>
      </c>
      <c r="B709" s="278"/>
      <c r="C709" s="279" t="s">
        <v>1330</v>
      </c>
      <c r="D709" s="280">
        <v>480</v>
      </c>
    </row>
    <row r="710" spans="1:4" s="232" customFormat="1" ht="16.95" customHeight="1">
      <c r="A710" s="277">
        <v>752</v>
      </c>
      <c r="B710" s="278"/>
      <c r="C710" s="279" t="s">
        <v>1331</v>
      </c>
      <c r="D710" s="280">
        <v>800</v>
      </c>
    </row>
    <row r="711" spans="1:4" s="232" customFormat="1" ht="16.95" customHeight="1">
      <c r="A711" s="277">
        <v>753</v>
      </c>
      <c r="B711" s="278"/>
      <c r="C711" s="279" t="s">
        <v>1332</v>
      </c>
      <c r="D711" s="280">
        <v>1440</v>
      </c>
    </row>
    <row r="712" spans="1:4" s="232" customFormat="1" ht="16.95" customHeight="1">
      <c r="A712" s="277">
        <v>754</v>
      </c>
      <c r="B712" s="278"/>
      <c r="C712" s="279" t="s">
        <v>1333</v>
      </c>
      <c r="D712" s="280">
        <v>1200</v>
      </c>
    </row>
    <row r="713" spans="1:4" s="232" customFormat="1" ht="32.4" customHeight="1">
      <c r="A713" s="277">
        <v>755</v>
      </c>
      <c r="B713" s="278"/>
      <c r="C713" s="279" t="s">
        <v>1337</v>
      </c>
      <c r="D713" s="280">
        <v>120</v>
      </c>
    </row>
    <row r="714" spans="1:4" s="232" customFormat="1" ht="29.4" customHeight="1">
      <c r="A714" s="277">
        <v>756</v>
      </c>
      <c r="B714" s="278"/>
      <c r="C714" s="279" t="s">
        <v>1338</v>
      </c>
      <c r="D714" s="280">
        <v>120</v>
      </c>
    </row>
    <row r="715" spans="1:4" s="232" customFormat="1" ht="32.4" customHeight="1">
      <c r="A715" s="277">
        <v>757</v>
      </c>
      <c r="B715" s="278"/>
      <c r="C715" s="279" t="s">
        <v>1336</v>
      </c>
      <c r="D715" s="280">
        <v>170</v>
      </c>
    </row>
    <row r="716" spans="1:4" s="232" customFormat="1" ht="30.6" customHeight="1">
      <c r="A716" s="277">
        <v>758</v>
      </c>
      <c r="B716" s="278"/>
      <c r="C716" s="279" t="s">
        <v>1339</v>
      </c>
      <c r="D716" s="280">
        <v>170</v>
      </c>
    </row>
    <row r="717" spans="1:4" s="281" customFormat="1" ht="15.6" customHeight="1">
      <c r="A717" s="277">
        <v>759</v>
      </c>
      <c r="B717" s="278"/>
      <c r="C717" s="279" t="s">
        <v>1360</v>
      </c>
      <c r="D717" s="280">
        <v>260</v>
      </c>
    </row>
    <row r="718" spans="1:4" s="281" customFormat="1" ht="25.8" customHeight="1">
      <c r="A718" s="277">
        <v>760</v>
      </c>
      <c r="B718" s="278"/>
      <c r="C718" s="279" t="s">
        <v>1361</v>
      </c>
      <c r="D718" s="280">
        <v>110</v>
      </c>
    </row>
    <row r="719" spans="1:4" s="281" customFormat="1" ht="25.8" customHeight="1">
      <c r="A719" s="277">
        <v>761</v>
      </c>
      <c r="B719" s="278"/>
      <c r="C719" s="279" t="s">
        <v>1362</v>
      </c>
      <c r="D719" s="280">
        <v>460</v>
      </c>
    </row>
    <row r="720" spans="1:4" s="281" customFormat="1" ht="25.8" customHeight="1">
      <c r="A720" s="277">
        <v>762</v>
      </c>
      <c r="B720" s="278"/>
      <c r="C720" s="279" t="s">
        <v>1365</v>
      </c>
      <c r="D720" s="280">
        <v>260</v>
      </c>
    </row>
    <row r="721" spans="1:4" s="281" customFormat="1" ht="15" customHeight="1">
      <c r="A721" s="277">
        <v>763</v>
      </c>
      <c r="B721" s="278"/>
      <c r="C721" s="279" t="s">
        <v>1359</v>
      </c>
      <c r="D721" s="280">
        <v>30</v>
      </c>
    </row>
    <row r="722" spans="1:4" s="281" customFormat="1" ht="15.6" customHeight="1">
      <c r="A722" s="277">
        <v>764</v>
      </c>
      <c r="B722" s="278"/>
      <c r="C722" s="279" t="s">
        <v>1363</v>
      </c>
      <c r="D722" s="280">
        <v>30</v>
      </c>
    </row>
    <row r="723" spans="1:4" s="281" customFormat="1" ht="18.600000000000001" customHeight="1">
      <c r="A723" s="277">
        <v>765</v>
      </c>
      <c r="B723" s="278"/>
      <c r="C723" s="279" t="s">
        <v>1364</v>
      </c>
      <c r="D723" s="280">
        <v>50</v>
      </c>
    </row>
    <row r="724" spans="1:4" s="281" customFormat="1" ht="15.6" customHeight="1">
      <c r="A724" s="277">
        <v>766</v>
      </c>
      <c r="B724" s="278"/>
      <c r="C724" s="279" t="s">
        <v>1366</v>
      </c>
      <c r="D724" s="280">
        <v>780</v>
      </c>
    </row>
    <row r="725" spans="1:4" s="281" customFormat="1" ht="15.6" customHeight="1">
      <c r="A725" s="277">
        <v>767</v>
      </c>
      <c r="B725" s="278"/>
      <c r="C725" s="279" t="s">
        <v>1367</v>
      </c>
      <c r="D725" s="280">
        <v>1560</v>
      </c>
    </row>
    <row r="726" spans="1:4" s="281" customFormat="1" ht="15.6" customHeight="1">
      <c r="A726" s="277">
        <v>768</v>
      </c>
      <c r="B726" s="278"/>
      <c r="C726" s="279" t="s">
        <v>1368</v>
      </c>
      <c r="D726" s="280">
        <v>2340</v>
      </c>
    </row>
    <row r="727" spans="1:4" s="281" customFormat="1" ht="15.6" customHeight="1">
      <c r="A727" s="277">
        <v>769</v>
      </c>
      <c r="B727" s="278"/>
      <c r="C727" s="279" t="s">
        <v>1369</v>
      </c>
      <c r="D727" s="280">
        <v>4680</v>
      </c>
    </row>
    <row r="728" spans="1:4" s="281" customFormat="1" ht="15.6" customHeight="1">
      <c r="A728" s="277">
        <v>770</v>
      </c>
      <c r="B728" s="278"/>
      <c r="C728" s="279" t="s">
        <v>1370</v>
      </c>
      <c r="D728" s="280">
        <v>3900</v>
      </c>
    </row>
    <row r="729" spans="1:4" s="281" customFormat="1" ht="15.6" customHeight="1">
      <c r="A729" s="277">
        <v>771</v>
      </c>
      <c r="B729" s="278"/>
      <c r="C729" s="279" t="s">
        <v>1371</v>
      </c>
      <c r="D729" s="280">
        <v>1170</v>
      </c>
    </row>
    <row r="730" spans="1:4" s="281" customFormat="1" ht="15.6" customHeight="1">
      <c r="A730" s="277">
        <v>772</v>
      </c>
      <c r="B730" s="278"/>
      <c r="C730" s="279" t="s">
        <v>1372</v>
      </c>
      <c r="D730" s="280">
        <v>2340</v>
      </c>
    </row>
    <row r="731" spans="1:4" s="281" customFormat="1" ht="15.6" customHeight="1">
      <c r="A731" s="277">
        <v>773</v>
      </c>
      <c r="B731" s="278"/>
      <c r="C731" s="279" t="s">
        <v>1373</v>
      </c>
      <c r="D731" s="280">
        <v>3900</v>
      </c>
    </row>
    <row r="732" spans="1:4" s="281" customFormat="1" ht="15.6" customHeight="1">
      <c r="A732" s="277">
        <v>774</v>
      </c>
      <c r="B732" s="278"/>
      <c r="C732" s="279" t="s">
        <v>1374</v>
      </c>
      <c r="D732" s="280">
        <v>7020</v>
      </c>
    </row>
    <row r="733" spans="1:4" s="281" customFormat="1" ht="15.6" customHeight="1">
      <c r="A733" s="277">
        <v>775</v>
      </c>
      <c r="B733" s="278"/>
      <c r="C733" s="279" t="s">
        <v>1375</v>
      </c>
      <c r="D733" s="280">
        <v>5850</v>
      </c>
    </row>
    <row r="734" spans="1:4" s="281" customFormat="1" ht="15.6" customHeight="1">
      <c r="A734" s="277">
        <v>776</v>
      </c>
      <c r="B734" s="278"/>
      <c r="C734" s="279" t="s">
        <v>1376</v>
      </c>
      <c r="D734" s="280">
        <v>900</v>
      </c>
    </row>
    <row r="735" spans="1:4" s="281" customFormat="1" ht="15.6" customHeight="1">
      <c r="A735" s="277">
        <v>777</v>
      </c>
      <c r="B735" s="278"/>
      <c r="C735" s="279" t="s">
        <v>1377</v>
      </c>
      <c r="D735" s="280">
        <v>1800</v>
      </c>
    </row>
    <row r="736" spans="1:4" s="281" customFormat="1" ht="15.6" customHeight="1">
      <c r="A736" s="277">
        <v>778</v>
      </c>
      <c r="B736" s="278"/>
      <c r="C736" s="279" t="s">
        <v>1378</v>
      </c>
      <c r="D736" s="280">
        <v>2700</v>
      </c>
    </row>
    <row r="737" spans="1:4" s="281" customFormat="1" ht="15.6" customHeight="1">
      <c r="A737" s="277">
        <v>779</v>
      </c>
      <c r="B737" s="278"/>
      <c r="C737" s="279" t="s">
        <v>1379</v>
      </c>
      <c r="D737" s="280">
        <v>5400</v>
      </c>
    </row>
    <row r="738" spans="1:4" s="281" customFormat="1" ht="15.6" customHeight="1">
      <c r="A738" s="277">
        <v>780</v>
      </c>
      <c r="B738" s="278"/>
      <c r="C738" s="279" t="s">
        <v>1380</v>
      </c>
      <c r="D738" s="280">
        <v>4500</v>
      </c>
    </row>
    <row r="739" spans="1:4" s="281" customFormat="1" ht="15.6" customHeight="1">
      <c r="A739" s="277">
        <v>781</v>
      </c>
      <c r="B739" s="278"/>
      <c r="C739" s="279" t="s">
        <v>1381</v>
      </c>
      <c r="D739" s="280">
        <v>1350</v>
      </c>
    </row>
    <row r="740" spans="1:4" s="281" customFormat="1" ht="15.6" customHeight="1">
      <c r="A740" s="277">
        <v>782</v>
      </c>
      <c r="B740" s="278"/>
      <c r="C740" s="279" t="s">
        <v>1382</v>
      </c>
      <c r="D740" s="280">
        <v>2700</v>
      </c>
    </row>
    <row r="741" spans="1:4" s="281" customFormat="1" ht="15.6" customHeight="1">
      <c r="A741" s="277">
        <v>783</v>
      </c>
      <c r="B741" s="278"/>
      <c r="C741" s="279" t="s">
        <v>1383</v>
      </c>
      <c r="D741" s="280">
        <v>4500</v>
      </c>
    </row>
    <row r="742" spans="1:4" s="281" customFormat="1" ht="15.6" customHeight="1">
      <c r="A742" s="277">
        <v>784</v>
      </c>
      <c r="B742" s="278"/>
      <c r="C742" s="279" t="s">
        <v>1384</v>
      </c>
      <c r="D742" s="280">
        <v>8100</v>
      </c>
    </row>
    <row r="743" spans="1:4" s="281" customFormat="1" ht="15.6" customHeight="1">
      <c r="A743" s="277">
        <v>785</v>
      </c>
      <c r="B743" s="278"/>
      <c r="C743" s="279" t="s">
        <v>1385</v>
      </c>
      <c r="D743" s="280">
        <v>6750</v>
      </c>
    </row>
    <row r="744" spans="1:4" s="233" customFormat="1" ht="15.6" customHeight="1">
      <c r="A744" s="51">
        <v>786</v>
      </c>
      <c r="B744" s="52"/>
      <c r="C744" s="56" t="s">
        <v>1389</v>
      </c>
      <c r="D744" s="334">
        <v>850</v>
      </c>
    </row>
    <row r="745" spans="1:4" s="336" customFormat="1" ht="16.95" customHeight="1">
      <c r="A745" s="51">
        <v>787</v>
      </c>
      <c r="B745" s="37" t="s">
        <v>1398</v>
      </c>
      <c r="C745" s="47" t="s">
        <v>1402</v>
      </c>
      <c r="D745" s="35">
        <v>4300</v>
      </c>
    </row>
    <row r="746" spans="1:4" s="336" customFormat="1" ht="16.95" customHeight="1">
      <c r="A746" s="51">
        <v>788</v>
      </c>
      <c r="B746" s="37" t="s">
        <v>1399</v>
      </c>
      <c r="C746" s="47" t="s">
        <v>1402</v>
      </c>
      <c r="D746" s="35">
        <v>5700</v>
      </c>
    </row>
    <row r="747" spans="1:4" s="336" customFormat="1" ht="16.95" customHeight="1">
      <c r="A747" s="51">
        <v>789</v>
      </c>
      <c r="B747" s="37" t="s">
        <v>1400</v>
      </c>
      <c r="C747" s="47" t="s">
        <v>1396</v>
      </c>
      <c r="D747" s="35">
        <v>900</v>
      </c>
    </row>
    <row r="748" spans="1:4" s="336" customFormat="1" ht="16.95" customHeight="1">
      <c r="A748" s="51">
        <v>790</v>
      </c>
      <c r="B748" s="37" t="s">
        <v>1397</v>
      </c>
      <c r="C748" s="47" t="s">
        <v>1403</v>
      </c>
      <c r="D748" s="35">
        <v>800</v>
      </c>
    </row>
    <row r="749" spans="1:4" s="336" customFormat="1" ht="16.95" customHeight="1">
      <c r="A749" s="51">
        <v>791</v>
      </c>
      <c r="B749" s="47"/>
      <c r="C749" s="47" t="s">
        <v>1404</v>
      </c>
      <c r="D749" s="35">
        <v>6300</v>
      </c>
    </row>
    <row r="750" spans="1:4" s="336" customFormat="1" ht="16.95" customHeight="1">
      <c r="A750" s="51">
        <v>792</v>
      </c>
      <c r="B750" s="37"/>
      <c r="C750" s="47" t="s">
        <v>1409</v>
      </c>
      <c r="D750" s="35">
        <v>60</v>
      </c>
    </row>
    <row r="751" spans="1:4" s="336" customFormat="1" ht="16.95" customHeight="1">
      <c r="A751" s="51">
        <v>793</v>
      </c>
      <c r="B751" s="37"/>
      <c r="C751" s="47" t="s">
        <v>1412</v>
      </c>
      <c r="D751" s="35">
        <v>10</v>
      </c>
    </row>
    <row r="752" spans="1:4" s="336" customFormat="1" ht="16.95" customHeight="1">
      <c r="A752" s="363">
        <v>794</v>
      </c>
      <c r="B752" s="37" t="s">
        <v>1416</v>
      </c>
      <c r="C752" s="47" t="s">
        <v>1422</v>
      </c>
      <c r="D752" s="365">
        <v>16800</v>
      </c>
    </row>
    <row r="753" spans="1:4" s="336" customFormat="1" ht="16.95" customHeight="1">
      <c r="A753" s="364"/>
      <c r="B753" s="37" t="s">
        <v>1417</v>
      </c>
      <c r="C753" s="47" t="s">
        <v>1423</v>
      </c>
      <c r="D753" s="366"/>
    </row>
    <row r="754" spans="1:4" s="336" customFormat="1" ht="16.95" customHeight="1">
      <c r="A754" s="363">
        <v>795</v>
      </c>
      <c r="B754" s="37" t="s">
        <v>1416</v>
      </c>
      <c r="C754" s="47" t="s">
        <v>1424</v>
      </c>
      <c r="D754" s="365">
        <v>16800</v>
      </c>
    </row>
    <row r="755" spans="1:4" s="336" customFormat="1" ht="16.95" customHeight="1">
      <c r="A755" s="364"/>
      <c r="B755" s="37" t="s">
        <v>1417</v>
      </c>
      <c r="C755" s="47" t="s">
        <v>1425</v>
      </c>
      <c r="D755" s="366"/>
    </row>
    <row r="756" spans="1:4" s="336" customFormat="1" ht="16.95" customHeight="1">
      <c r="A756" s="363">
        <v>796</v>
      </c>
      <c r="B756" s="37" t="s">
        <v>1418</v>
      </c>
      <c r="C756" s="47" t="s">
        <v>1419</v>
      </c>
      <c r="D756" s="365">
        <v>18000</v>
      </c>
    </row>
    <row r="757" spans="1:4" s="336" customFormat="1" ht="16.95" customHeight="1">
      <c r="A757" s="364"/>
      <c r="B757" s="37" t="s">
        <v>1420</v>
      </c>
      <c r="C757" s="47" t="s">
        <v>1421</v>
      </c>
      <c r="D757" s="366"/>
    </row>
    <row r="758" spans="1:4" s="336" customFormat="1" ht="16.95" customHeight="1">
      <c r="A758" s="363">
        <v>797</v>
      </c>
      <c r="B758" s="37" t="s">
        <v>1426</v>
      </c>
      <c r="C758" s="47" t="s">
        <v>1427</v>
      </c>
      <c r="D758" s="365">
        <v>18000</v>
      </c>
    </row>
    <row r="759" spans="1:4" s="336" customFormat="1" ht="16.95" customHeight="1">
      <c r="A759" s="364"/>
      <c r="B759" s="37" t="s">
        <v>1428</v>
      </c>
      <c r="C759" s="47" t="s">
        <v>1429</v>
      </c>
      <c r="D759" s="366"/>
    </row>
    <row r="760" spans="1:4" s="336" customFormat="1" ht="16.95" customHeight="1">
      <c r="A760" s="363">
        <v>798</v>
      </c>
      <c r="B760" s="37" t="s">
        <v>1430</v>
      </c>
      <c r="C760" s="47" t="s">
        <v>1432</v>
      </c>
      <c r="D760" s="365">
        <v>19700</v>
      </c>
    </row>
    <row r="761" spans="1:4" s="336" customFormat="1" ht="16.95" customHeight="1">
      <c r="A761" s="364"/>
      <c r="B761" s="37" t="s">
        <v>1431</v>
      </c>
      <c r="C761" s="47" t="s">
        <v>1433</v>
      </c>
      <c r="D761" s="366"/>
    </row>
    <row r="762" spans="1:4" s="336" customFormat="1" ht="28.8" customHeight="1">
      <c r="A762" s="51">
        <v>799</v>
      </c>
      <c r="B762" s="37" t="s">
        <v>1435</v>
      </c>
      <c r="C762" s="47" t="s">
        <v>1434</v>
      </c>
      <c r="D762" s="35">
        <v>5500</v>
      </c>
    </row>
    <row r="763" spans="1:4" ht="16.95" customHeight="1">
      <c r="A763" s="341">
        <v>800</v>
      </c>
      <c r="B763" s="362" t="s">
        <v>402</v>
      </c>
      <c r="C763" s="344" t="s">
        <v>1438</v>
      </c>
      <c r="D763" s="339">
        <v>2337</v>
      </c>
    </row>
    <row r="764" spans="1:4" ht="16.95" customHeight="1">
      <c r="A764" s="341">
        <v>801</v>
      </c>
      <c r="B764" s="362" t="s">
        <v>404</v>
      </c>
      <c r="C764" s="344" t="s">
        <v>1439</v>
      </c>
      <c r="D764" s="339">
        <v>6671</v>
      </c>
    </row>
    <row r="765" spans="1:4" ht="16.95" customHeight="1">
      <c r="A765" s="341">
        <v>802</v>
      </c>
      <c r="B765" s="362" t="s">
        <v>412</v>
      </c>
      <c r="C765" s="344" t="s">
        <v>1440</v>
      </c>
      <c r="D765" s="339">
        <v>579</v>
      </c>
    </row>
    <row r="766" spans="1:4" ht="16.95" customHeight="1">
      <c r="A766" s="341">
        <v>803</v>
      </c>
      <c r="B766" s="362" t="s">
        <v>414</v>
      </c>
      <c r="C766" s="344" t="s">
        <v>1441</v>
      </c>
      <c r="D766" s="339">
        <v>305</v>
      </c>
    </row>
    <row r="767" spans="1:4" ht="16.95" customHeight="1">
      <c r="A767" s="341">
        <v>804</v>
      </c>
      <c r="B767" s="362" t="s">
        <v>416</v>
      </c>
      <c r="C767" s="344" t="s">
        <v>1442</v>
      </c>
      <c r="D767" s="339">
        <v>1168</v>
      </c>
    </row>
  </sheetData>
  <mergeCells count="12">
    <mergeCell ref="A758:A759"/>
    <mergeCell ref="D758:D759"/>
    <mergeCell ref="A760:A761"/>
    <mergeCell ref="D760:D761"/>
    <mergeCell ref="B22:C22"/>
    <mergeCell ref="A754:A755"/>
    <mergeCell ref="D754:D755"/>
    <mergeCell ref="A756:A757"/>
    <mergeCell ref="D756:D757"/>
    <mergeCell ref="A752:A753"/>
    <mergeCell ref="D752:D753"/>
    <mergeCell ref="B23:C23"/>
  </mergeCells>
  <conditionalFormatting sqref="B763">
    <cfRule type="expression" dxfId="9" priority="5">
      <formula>IF(AND(LEN($A763)&gt;=6,LEN($A763)&lt;=7),TRUE,FALSE)</formula>
    </cfRule>
  </conditionalFormatting>
  <conditionalFormatting sqref="B764">
    <cfRule type="expression" dxfId="8" priority="4">
      <formula>IF(AND(LEN($A764)&gt;=6,LEN($A764)&lt;=7),TRUE,FALSE)</formula>
    </cfRule>
  </conditionalFormatting>
  <conditionalFormatting sqref="B765">
    <cfRule type="expression" dxfId="7" priority="3">
      <formula>IF(AND(LEN($A765)&gt;=6,LEN($A765)&lt;=7),TRUE,FALSE)</formula>
    </cfRule>
  </conditionalFormatting>
  <conditionalFormatting sqref="B766">
    <cfRule type="expression" dxfId="6" priority="2">
      <formula>IF(AND(LEN($A766)&gt;=6,LEN($A766)&lt;=7),TRUE,FALSE)</formula>
    </cfRule>
  </conditionalFormatting>
  <conditionalFormatting sqref="B767">
    <cfRule type="expression" dxfId="5" priority="1">
      <formula>IF(AND(LEN($A767)&gt;=6,LEN($A767)&lt;=7),TRUE,FALSE)</formula>
    </cfRule>
  </conditionalFormatting>
  <hyperlinks>
    <hyperlink ref="B762" r:id="rId1" display="http://zdravmedinform.ru/nomenclatura-meditcinskikh-uslug/a16.07.002.011.html"/>
  </hyperlinks>
  <pageMargins left="0.39370078740157483" right="0.27559055118110237" top="0.36" bottom="0.23622047244094491" header="0.31496062992125984" footer="0.31496062992125984"/>
  <pageSetup paperSize="9" scale="74" fitToHeight="0" orientation="portrait" horizontalDpi="0" verticalDpi="0" r:id="rId2"/>
  <rowBreaks count="1" manualBreakCount="1">
    <brk id="70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7"/>
  <sheetViews>
    <sheetView topLeftCell="A52" workbookViewId="0">
      <selection activeCell="R27" sqref="R27"/>
    </sheetView>
  </sheetViews>
  <sheetFormatPr defaultColWidth="8.88671875" defaultRowHeight="16.95" customHeight="1"/>
  <cols>
    <col min="1" max="1" width="10.5546875" style="9" customWidth="1"/>
    <col min="2" max="2" width="16.109375" style="54" customWidth="1"/>
    <col min="3" max="3" width="79.44140625" style="12" customWidth="1"/>
    <col min="4" max="4" width="10.6640625" style="50" hidden="1" customWidth="1"/>
    <col min="5" max="5" width="12.44140625" style="11" hidden="1" customWidth="1"/>
    <col min="6" max="6" width="8.88671875" style="12" hidden="1" customWidth="1"/>
    <col min="7" max="7" width="12.5546875" style="12" hidden="1" customWidth="1"/>
    <col min="8" max="8" width="12.44140625" style="12" hidden="1" customWidth="1"/>
    <col min="9" max="9" width="10.88671875" style="12" hidden="1" customWidth="1"/>
    <col min="10" max="10" width="11.44140625" style="12" hidden="1" customWidth="1"/>
    <col min="11" max="11" width="12.33203125" style="12" hidden="1" customWidth="1"/>
    <col min="12" max="12" width="11" style="12" hidden="1" customWidth="1"/>
    <col min="13" max="13" width="11.44140625" style="12" hidden="1" customWidth="1"/>
    <col min="14" max="14" width="13.5546875" style="13" hidden="1" customWidth="1"/>
    <col min="15" max="15" width="8.88671875" style="12" hidden="1" customWidth="1"/>
    <col min="16" max="16384" width="8.88671875" style="12"/>
  </cols>
  <sheetData>
    <row r="1" spans="2:4" ht="43.95" customHeight="1">
      <c r="B1" s="10"/>
      <c r="C1" s="64" t="s">
        <v>1157</v>
      </c>
      <c r="D1" s="64" t="s">
        <v>1110</v>
      </c>
    </row>
    <row r="2" spans="2:4" ht="8.4" customHeight="1">
      <c r="B2" s="10"/>
      <c r="C2" s="66" t="s">
        <v>1082</v>
      </c>
      <c r="D2" s="66" t="s">
        <v>1082</v>
      </c>
    </row>
    <row r="3" spans="2:4" ht="13.95" customHeight="1">
      <c r="B3" s="10"/>
      <c r="C3" s="66" t="s">
        <v>1155</v>
      </c>
      <c r="D3" s="66"/>
    </row>
    <row r="4" spans="2:4" ht="12.6" customHeight="1">
      <c r="B4" s="10"/>
      <c r="C4" s="66" t="s">
        <v>1156</v>
      </c>
      <c r="D4" s="66" t="s">
        <v>1109</v>
      </c>
    </row>
    <row r="5" spans="2:4" ht="12" customHeight="1">
      <c r="B5" s="10"/>
      <c r="C5" s="66" t="s">
        <v>1158</v>
      </c>
      <c r="D5" s="65"/>
    </row>
    <row r="6" spans="2:4" ht="12" customHeight="1">
      <c r="B6" s="10"/>
      <c r="C6" s="66" t="s">
        <v>1159</v>
      </c>
      <c r="D6" s="65"/>
    </row>
    <row r="7" spans="2:4" ht="12" customHeight="1">
      <c r="B7" s="10"/>
      <c r="C7" s="66" t="s">
        <v>1167</v>
      </c>
      <c r="D7" s="65"/>
    </row>
    <row r="8" spans="2:4" ht="12" customHeight="1">
      <c r="B8" s="10"/>
      <c r="C8" s="66" t="s">
        <v>1257</v>
      </c>
      <c r="D8" s="65"/>
    </row>
    <row r="9" spans="2:4" ht="12" customHeight="1">
      <c r="B9" s="10"/>
      <c r="C9" s="66" t="s">
        <v>1258</v>
      </c>
      <c r="D9" s="65"/>
    </row>
    <row r="10" spans="2:4" ht="12" customHeight="1">
      <c r="B10" s="10"/>
      <c r="C10" s="66" t="s">
        <v>1272</v>
      </c>
      <c r="D10" s="65"/>
    </row>
    <row r="11" spans="2:4" ht="12" customHeight="1">
      <c r="B11" s="10"/>
      <c r="C11" s="66" t="s">
        <v>1386</v>
      </c>
      <c r="D11" s="65"/>
    </row>
    <row r="12" spans="2:4" ht="12" customHeight="1">
      <c r="B12" s="10"/>
      <c r="C12" s="66" t="s">
        <v>1387</v>
      </c>
      <c r="D12" s="65"/>
    </row>
    <row r="13" spans="2:4" ht="12" customHeight="1">
      <c r="B13" s="10"/>
      <c r="C13" s="66" t="s">
        <v>1388</v>
      </c>
      <c r="D13" s="65"/>
    </row>
    <row r="14" spans="2:4" ht="12" customHeight="1">
      <c r="B14" s="10"/>
      <c r="C14" s="66" t="s">
        <v>1401</v>
      </c>
      <c r="D14" s="65"/>
    </row>
    <row r="15" spans="2:4" ht="12" customHeight="1">
      <c r="B15" s="10"/>
      <c r="C15" s="66" t="s">
        <v>1408</v>
      </c>
      <c r="D15" s="65"/>
    </row>
    <row r="16" spans="2:4" ht="12" customHeight="1">
      <c r="B16" s="10"/>
      <c r="C16" s="66" t="s">
        <v>1411</v>
      </c>
      <c r="D16" s="65"/>
    </row>
    <row r="17" spans="1:16" ht="12" customHeight="1">
      <c r="B17" s="10"/>
      <c r="C17" s="66" t="s">
        <v>1414</v>
      </c>
      <c r="D17" s="65"/>
    </row>
    <row r="18" spans="1:16" ht="12" customHeight="1">
      <c r="B18" s="10"/>
      <c r="C18" s="66" t="s">
        <v>1415</v>
      </c>
      <c r="D18" s="65"/>
    </row>
    <row r="19" spans="1:16" ht="12" customHeight="1">
      <c r="B19" s="10"/>
      <c r="C19" s="66" t="s">
        <v>1436</v>
      </c>
      <c r="D19" s="65"/>
    </row>
    <row r="20" spans="1:16" ht="12" customHeight="1">
      <c r="B20" s="10"/>
      <c r="C20" s="66" t="s">
        <v>1443</v>
      </c>
      <c r="D20" s="65"/>
    </row>
    <row r="21" spans="1:16" ht="76.2" customHeight="1">
      <c r="B21" s="367" t="s">
        <v>666</v>
      </c>
      <c r="C21" s="367"/>
      <c r="D21" s="367"/>
    </row>
    <row r="22" spans="1:16" ht="19.2" customHeight="1">
      <c r="B22" s="342"/>
      <c r="C22" s="368" t="s">
        <v>1448</v>
      </c>
      <c r="D22" s="368" t="s">
        <v>1154</v>
      </c>
    </row>
    <row r="23" spans="1:16" s="8" customFormat="1" ht="53.4" customHeight="1">
      <c r="A23" s="4" t="s">
        <v>618</v>
      </c>
      <c r="B23" s="5" t="s">
        <v>0</v>
      </c>
      <c r="C23" s="4" t="s">
        <v>1</v>
      </c>
      <c r="D23" s="6" t="s">
        <v>2</v>
      </c>
      <c r="E23" s="1" t="s">
        <v>2</v>
      </c>
      <c r="F23" s="7" t="s">
        <v>639</v>
      </c>
      <c r="G23" s="3" t="s">
        <v>665</v>
      </c>
      <c r="H23" s="1" t="s">
        <v>660</v>
      </c>
      <c r="I23" s="3" t="s">
        <v>649</v>
      </c>
      <c r="J23" s="2" t="s">
        <v>662</v>
      </c>
      <c r="K23" s="7"/>
      <c r="L23" s="7"/>
      <c r="M23" s="1" t="s">
        <v>661</v>
      </c>
      <c r="N23" s="1" t="s">
        <v>2</v>
      </c>
      <c r="O23" s="3" t="s">
        <v>664</v>
      </c>
    </row>
    <row r="24" spans="1:16" s="24" customFormat="1" ht="10.95" customHeight="1">
      <c r="A24" s="5">
        <v>1</v>
      </c>
      <c r="B24" s="5">
        <v>2</v>
      </c>
      <c r="C24" s="14">
        <v>3</v>
      </c>
      <c r="D24" s="15" t="s">
        <v>638</v>
      </c>
      <c r="E24" s="16" t="s">
        <v>648</v>
      </c>
      <c r="F24" s="17"/>
      <c r="G24" s="18">
        <f>2.87+0.13+0.28+0.36</f>
        <v>3.64</v>
      </c>
      <c r="H24" s="19"/>
      <c r="I24" s="20"/>
      <c r="J24" s="21"/>
      <c r="K24" s="20"/>
      <c r="L24" s="20"/>
      <c r="M24" s="22"/>
      <c r="N24" s="23"/>
    </row>
    <row r="25" spans="1:16" ht="16.95" customHeight="1">
      <c r="A25" s="25"/>
      <c r="B25" s="26"/>
      <c r="C25" s="27" t="s">
        <v>3</v>
      </c>
      <c r="D25" s="28"/>
      <c r="E25" s="29">
        <v>43738</v>
      </c>
      <c r="F25" s="30"/>
      <c r="G25" s="31"/>
      <c r="H25" s="32">
        <v>44145</v>
      </c>
      <c r="I25" s="27"/>
      <c r="J25" s="33">
        <v>44284</v>
      </c>
      <c r="K25" s="34"/>
      <c r="L25" s="34"/>
      <c r="M25" s="32">
        <v>44284</v>
      </c>
      <c r="N25" s="35"/>
      <c r="O25" s="36"/>
      <c r="P25" s="12">
        <v>7</v>
      </c>
    </row>
    <row r="26" spans="1:16" ht="16.95" customHeight="1">
      <c r="A26" s="25">
        <v>1</v>
      </c>
      <c r="B26" s="37" t="s">
        <v>4</v>
      </c>
      <c r="C26" s="38" t="s">
        <v>5</v>
      </c>
      <c r="D26" s="28">
        <v>464</v>
      </c>
      <c r="E26" s="39">
        <v>464</v>
      </c>
      <c r="F26" s="30"/>
      <c r="G26" s="31">
        <v>1.0364</v>
      </c>
      <c r="H26" s="34">
        <f>ROUND(E26*G26, 0)</f>
        <v>481</v>
      </c>
      <c r="I26" s="34">
        <f>H26-E26</f>
        <v>17</v>
      </c>
      <c r="J26" s="40">
        <f>ROUND(H26*1.05, 0)</f>
        <v>505</v>
      </c>
      <c r="K26" s="34">
        <f>J26/100</f>
        <v>5.05</v>
      </c>
      <c r="L26" s="34">
        <f>ROUND(K26,1)</f>
        <v>5.0999999999999996</v>
      </c>
      <c r="M26" s="34">
        <f>L26*100</f>
        <v>509.99999999999994</v>
      </c>
      <c r="N26" s="35">
        <v>509.99999999999994</v>
      </c>
      <c r="O26" s="36">
        <f>N26/H26</f>
        <v>1.0602910602910602</v>
      </c>
    </row>
    <row r="27" spans="1:16" ht="16.95" customHeight="1">
      <c r="A27" s="25">
        <v>2</v>
      </c>
      <c r="B27" s="37" t="s">
        <v>6</v>
      </c>
      <c r="C27" s="38" t="s">
        <v>7</v>
      </c>
      <c r="D27" s="28">
        <v>338</v>
      </c>
      <c r="E27" s="39">
        <v>338</v>
      </c>
      <c r="F27" s="30"/>
      <c r="G27" s="31">
        <v>1.0364</v>
      </c>
      <c r="H27" s="34">
        <f>ROUND(E27*G27, 0)</f>
        <v>350</v>
      </c>
      <c r="I27" s="34">
        <f t="shared" ref="I27:I90" si="0">H27-E27</f>
        <v>12</v>
      </c>
      <c r="J27" s="40">
        <f t="shared" ref="J27:J90" si="1">ROUND(H27*1.05, 0)</f>
        <v>368</v>
      </c>
      <c r="K27" s="34">
        <f>J27/100</f>
        <v>3.68</v>
      </c>
      <c r="L27" s="34">
        <f>ROUND(K27,1)</f>
        <v>3.7</v>
      </c>
      <c r="M27" s="34">
        <f>L27*100</f>
        <v>370</v>
      </c>
      <c r="N27" s="35">
        <v>370</v>
      </c>
      <c r="O27" s="36">
        <f t="shared" ref="O27:O90" si="2">N27/H27</f>
        <v>1.0571428571428572</v>
      </c>
    </row>
    <row r="28" spans="1:16" ht="16.95" customHeight="1">
      <c r="A28" s="25">
        <v>3</v>
      </c>
      <c r="B28" s="37" t="s">
        <v>8</v>
      </c>
      <c r="C28" s="38" t="s">
        <v>9</v>
      </c>
      <c r="D28" s="28">
        <v>464</v>
      </c>
      <c r="E28" s="39">
        <v>464</v>
      </c>
      <c r="F28" s="30"/>
      <c r="G28" s="31">
        <v>1.0364</v>
      </c>
      <c r="H28" s="34">
        <f t="shared" ref="H28:H91" si="3">ROUND(E28*G28, 0)</f>
        <v>481</v>
      </c>
      <c r="I28" s="34">
        <f t="shared" si="0"/>
        <v>17</v>
      </c>
      <c r="J28" s="40">
        <f t="shared" si="1"/>
        <v>505</v>
      </c>
      <c r="K28" s="34">
        <f t="shared" ref="K28:K91" si="4">J28/100</f>
        <v>5.05</v>
      </c>
      <c r="L28" s="34">
        <f t="shared" ref="L28:L91" si="5">ROUND(K28,1)</f>
        <v>5.0999999999999996</v>
      </c>
      <c r="M28" s="34">
        <f t="shared" ref="M28:M91" si="6">L28*100</f>
        <v>509.99999999999994</v>
      </c>
      <c r="N28" s="35">
        <v>509.99999999999994</v>
      </c>
      <c r="O28" s="36">
        <f t="shared" si="2"/>
        <v>1.0602910602910602</v>
      </c>
    </row>
    <row r="29" spans="1:16" ht="16.95" customHeight="1">
      <c r="A29" s="25">
        <v>4</v>
      </c>
      <c r="B29" s="37" t="s">
        <v>10</v>
      </c>
      <c r="C29" s="38" t="s">
        <v>11</v>
      </c>
      <c r="D29" s="28">
        <v>338</v>
      </c>
      <c r="E29" s="39">
        <v>338</v>
      </c>
      <c r="F29" s="30"/>
      <c r="G29" s="31">
        <v>1.0364</v>
      </c>
      <c r="H29" s="34">
        <f t="shared" si="3"/>
        <v>350</v>
      </c>
      <c r="I29" s="34">
        <f t="shared" si="0"/>
        <v>12</v>
      </c>
      <c r="J29" s="40">
        <f t="shared" si="1"/>
        <v>368</v>
      </c>
      <c r="K29" s="34">
        <f t="shared" si="4"/>
        <v>3.68</v>
      </c>
      <c r="L29" s="34">
        <f t="shared" si="5"/>
        <v>3.7</v>
      </c>
      <c r="M29" s="34">
        <f t="shared" si="6"/>
        <v>370</v>
      </c>
      <c r="N29" s="35">
        <v>370</v>
      </c>
      <c r="O29" s="36">
        <f t="shared" si="2"/>
        <v>1.0571428571428572</v>
      </c>
    </row>
    <row r="30" spans="1:16" ht="16.95" customHeight="1">
      <c r="A30" s="25">
        <v>5</v>
      </c>
      <c r="B30" s="37" t="s">
        <v>12</v>
      </c>
      <c r="C30" s="38" t="s">
        <v>13</v>
      </c>
      <c r="D30" s="28">
        <v>464</v>
      </c>
      <c r="E30" s="39">
        <v>464</v>
      </c>
      <c r="F30" s="30"/>
      <c r="G30" s="31">
        <v>1.0364</v>
      </c>
      <c r="H30" s="34">
        <f t="shared" si="3"/>
        <v>481</v>
      </c>
      <c r="I30" s="34">
        <f t="shared" si="0"/>
        <v>17</v>
      </c>
      <c r="J30" s="40">
        <f t="shared" si="1"/>
        <v>505</v>
      </c>
      <c r="K30" s="34">
        <f t="shared" si="4"/>
        <v>5.05</v>
      </c>
      <c r="L30" s="34">
        <f t="shared" si="5"/>
        <v>5.0999999999999996</v>
      </c>
      <c r="M30" s="34">
        <f t="shared" si="6"/>
        <v>509.99999999999994</v>
      </c>
      <c r="N30" s="35">
        <v>509.99999999999994</v>
      </c>
      <c r="O30" s="36">
        <f t="shared" si="2"/>
        <v>1.0602910602910602</v>
      </c>
    </row>
    <row r="31" spans="1:16" ht="16.95" customHeight="1">
      <c r="A31" s="25">
        <v>6</v>
      </c>
      <c r="B31" s="37" t="s">
        <v>14</v>
      </c>
      <c r="C31" s="38" t="s">
        <v>15</v>
      </c>
      <c r="D31" s="28">
        <v>338</v>
      </c>
      <c r="E31" s="39">
        <v>338</v>
      </c>
      <c r="F31" s="30"/>
      <c r="G31" s="31">
        <v>1.0364</v>
      </c>
      <c r="H31" s="34">
        <f t="shared" si="3"/>
        <v>350</v>
      </c>
      <c r="I31" s="34">
        <f t="shared" si="0"/>
        <v>12</v>
      </c>
      <c r="J31" s="40">
        <f t="shared" si="1"/>
        <v>368</v>
      </c>
      <c r="K31" s="34">
        <f t="shared" si="4"/>
        <v>3.68</v>
      </c>
      <c r="L31" s="34">
        <f t="shared" si="5"/>
        <v>3.7</v>
      </c>
      <c r="M31" s="34">
        <f t="shared" si="6"/>
        <v>370</v>
      </c>
      <c r="N31" s="35">
        <v>370</v>
      </c>
      <c r="O31" s="36">
        <f t="shared" si="2"/>
        <v>1.0571428571428572</v>
      </c>
    </row>
    <row r="32" spans="1:16" ht="16.95" customHeight="1">
      <c r="A32" s="25">
        <v>7</v>
      </c>
      <c r="B32" s="37" t="s">
        <v>16</v>
      </c>
      <c r="C32" s="38" t="s">
        <v>17</v>
      </c>
      <c r="D32" s="28">
        <v>464</v>
      </c>
      <c r="E32" s="39">
        <v>464</v>
      </c>
      <c r="F32" s="30"/>
      <c r="G32" s="31">
        <v>1.0364</v>
      </c>
      <c r="H32" s="34">
        <f t="shared" si="3"/>
        <v>481</v>
      </c>
      <c r="I32" s="34">
        <f t="shared" si="0"/>
        <v>17</v>
      </c>
      <c r="J32" s="40">
        <f t="shared" si="1"/>
        <v>505</v>
      </c>
      <c r="K32" s="34">
        <f t="shared" si="4"/>
        <v>5.05</v>
      </c>
      <c r="L32" s="34">
        <f t="shared" si="5"/>
        <v>5.0999999999999996</v>
      </c>
      <c r="M32" s="34">
        <f t="shared" si="6"/>
        <v>509.99999999999994</v>
      </c>
      <c r="N32" s="35">
        <v>509.99999999999994</v>
      </c>
      <c r="O32" s="36">
        <f t="shared" si="2"/>
        <v>1.0602910602910602</v>
      </c>
    </row>
    <row r="33" spans="1:15" ht="16.95" customHeight="1">
      <c r="A33" s="25">
        <v>8</v>
      </c>
      <c r="B33" s="37" t="s">
        <v>18</v>
      </c>
      <c r="C33" s="38" t="s">
        <v>19</v>
      </c>
      <c r="D33" s="28">
        <v>338</v>
      </c>
      <c r="E33" s="39">
        <v>338</v>
      </c>
      <c r="F33" s="30"/>
      <c r="G33" s="31">
        <v>1.0364</v>
      </c>
      <c r="H33" s="34">
        <f t="shared" si="3"/>
        <v>350</v>
      </c>
      <c r="I33" s="34">
        <f t="shared" si="0"/>
        <v>12</v>
      </c>
      <c r="J33" s="40">
        <f t="shared" si="1"/>
        <v>368</v>
      </c>
      <c r="K33" s="34">
        <f t="shared" si="4"/>
        <v>3.68</v>
      </c>
      <c r="L33" s="34">
        <f t="shared" si="5"/>
        <v>3.7</v>
      </c>
      <c r="M33" s="34">
        <f t="shared" si="6"/>
        <v>370</v>
      </c>
      <c r="N33" s="35">
        <v>370</v>
      </c>
      <c r="O33" s="36">
        <f t="shared" si="2"/>
        <v>1.0571428571428572</v>
      </c>
    </row>
    <row r="34" spans="1:15" ht="16.95" customHeight="1">
      <c r="A34" s="25">
        <v>9</v>
      </c>
      <c r="B34" s="37" t="s">
        <v>20</v>
      </c>
      <c r="C34" s="38" t="s">
        <v>630</v>
      </c>
      <c r="D34" s="28">
        <v>1000</v>
      </c>
      <c r="E34" s="39">
        <v>1000</v>
      </c>
      <c r="F34" s="30"/>
      <c r="G34" s="31">
        <v>1.0364</v>
      </c>
      <c r="H34" s="34">
        <f t="shared" si="3"/>
        <v>1036</v>
      </c>
      <c r="I34" s="34">
        <f t="shared" si="0"/>
        <v>36</v>
      </c>
      <c r="J34" s="40">
        <f t="shared" si="1"/>
        <v>1088</v>
      </c>
      <c r="K34" s="34">
        <f t="shared" si="4"/>
        <v>10.88</v>
      </c>
      <c r="L34" s="34">
        <f t="shared" si="5"/>
        <v>10.9</v>
      </c>
      <c r="M34" s="34">
        <f t="shared" si="6"/>
        <v>1090</v>
      </c>
      <c r="N34" s="35">
        <v>1090</v>
      </c>
      <c r="O34" s="36">
        <f t="shared" si="2"/>
        <v>1.0521235521235521</v>
      </c>
    </row>
    <row r="35" spans="1:15" ht="16.95" customHeight="1">
      <c r="A35" s="25">
        <v>10</v>
      </c>
      <c r="B35" s="37" t="s">
        <v>21</v>
      </c>
      <c r="C35" s="38" t="s">
        <v>22</v>
      </c>
      <c r="D35" s="28">
        <v>44</v>
      </c>
      <c r="E35" s="39">
        <f>ROUND(D35*1.043/10,0)*10</f>
        <v>50</v>
      </c>
      <c r="F35" s="30">
        <f>E35-D35</f>
        <v>6</v>
      </c>
      <c r="G35" s="31">
        <v>1.0364</v>
      </c>
      <c r="H35" s="34">
        <f t="shared" si="3"/>
        <v>52</v>
      </c>
      <c r="I35" s="34">
        <f t="shared" si="0"/>
        <v>2</v>
      </c>
      <c r="J35" s="40">
        <f t="shared" si="1"/>
        <v>55</v>
      </c>
      <c r="K35" s="34">
        <f t="shared" si="4"/>
        <v>0.55000000000000004</v>
      </c>
      <c r="L35" s="34">
        <f t="shared" si="5"/>
        <v>0.6</v>
      </c>
      <c r="M35" s="34">
        <f t="shared" si="6"/>
        <v>60</v>
      </c>
      <c r="N35" s="35">
        <v>60</v>
      </c>
      <c r="O35" s="36">
        <f t="shared" si="2"/>
        <v>1.1538461538461537</v>
      </c>
    </row>
    <row r="36" spans="1:15" ht="16.95" customHeight="1">
      <c r="A36" s="25">
        <v>11</v>
      </c>
      <c r="B36" s="37" t="s">
        <v>23</v>
      </c>
      <c r="C36" s="38" t="s">
        <v>24</v>
      </c>
      <c r="D36" s="28">
        <v>73</v>
      </c>
      <c r="E36" s="39">
        <f t="shared" ref="E36:E99" si="7">ROUND(D36*1.043/10,0)*10</f>
        <v>80</v>
      </c>
      <c r="F36" s="30">
        <f t="shared" ref="F36:F99" si="8">E36-D36</f>
        <v>7</v>
      </c>
      <c r="G36" s="31">
        <v>1.0364</v>
      </c>
      <c r="H36" s="34">
        <f t="shared" si="3"/>
        <v>83</v>
      </c>
      <c r="I36" s="34">
        <f t="shared" si="0"/>
        <v>3</v>
      </c>
      <c r="J36" s="40">
        <f t="shared" si="1"/>
        <v>87</v>
      </c>
      <c r="K36" s="34">
        <f t="shared" si="4"/>
        <v>0.87</v>
      </c>
      <c r="L36" s="34">
        <f t="shared" si="5"/>
        <v>0.9</v>
      </c>
      <c r="M36" s="34">
        <f t="shared" si="6"/>
        <v>90</v>
      </c>
      <c r="N36" s="35">
        <v>90</v>
      </c>
      <c r="O36" s="36">
        <f t="shared" si="2"/>
        <v>1.0843373493975903</v>
      </c>
    </row>
    <row r="37" spans="1:15" ht="16.95" customHeight="1">
      <c r="A37" s="25">
        <v>12</v>
      </c>
      <c r="B37" s="37" t="s">
        <v>25</v>
      </c>
      <c r="C37" s="38" t="s">
        <v>26</v>
      </c>
      <c r="D37" s="28">
        <v>44</v>
      </c>
      <c r="E37" s="39">
        <f t="shared" si="7"/>
        <v>50</v>
      </c>
      <c r="F37" s="41">
        <f t="shared" si="8"/>
        <v>6</v>
      </c>
      <c r="G37" s="31">
        <v>1.0364</v>
      </c>
      <c r="H37" s="34">
        <f t="shared" si="3"/>
        <v>52</v>
      </c>
      <c r="I37" s="34">
        <f t="shared" si="0"/>
        <v>2</v>
      </c>
      <c r="J37" s="40">
        <f t="shared" si="1"/>
        <v>55</v>
      </c>
      <c r="K37" s="34">
        <f t="shared" si="4"/>
        <v>0.55000000000000004</v>
      </c>
      <c r="L37" s="34">
        <f t="shared" si="5"/>
        <v>0.6</v>
      </c>
      <c r="M37" s="34">
        <f t="shared" si="6"/>
        <v>60</v>
      </c>
      <c r="N37" s="35">
        <v>60</v>
      </c>
      <c r="O37" s="36">
        <f>N37/H37</f>
        <v>1.1538461538461537</v>
      </c>
    </row>
    <row r="38" spans="1:15" ht="16.95" customHeight="1">
      <c r="A38" s="25">
        <v>13</v>
      </c>
      <c r="B38" s="37" t="s">
        <v>27</v>
      </c>
      <c r="C38" s="38" t="s">
        <v>28</v>
      </c>
      <c r="D38" s="28">
        <v>73</v>
      </c>
      <c r="E38" s="39">
        <f t="shared" si="7"/>
        <v>80</v>
      </c>
      <c r="F38" s="41">
        <f t="shared" si="8"/>
        <v>7</v>
      </c>
      <c r="G38" s="31">
        <v>1.0364</v>
      </c>
      <c r="H38" s="34">
        <f t="shared" si="3"/>
        <v>83</v>
      </c>
      <c r="I38" s="34">
        <f t="shared" si="0"/>
        <v>3</v>
      </c>
      <c r="J38" s="40">
        <f t="shared" si="1"/>
        <v>87</v>
      </c>
      <c r="K38" s="34">
        <f t="shared" si="4"/>
        <v>0.87</v>
      </c>
      <c r="L38" s="34">
        <f t="shared" si="5"/>
        <v>0.9</v>
      </c>
      <c r="M38" s="34">
        <f t="shared" si="6"/>
        <v>90</v>
      </c>
      <c r="N38" s="35">
        <v>90</v>
      </c>
      <c r="O38" s="36">
        <f t="shared" si="2"/>
        <v>1.0843373493975903</v>
      </c>
    </row>
    <row r="39" spans="1:15" ht="16.95" customHeight="1">
      <c r="A39" s="25">
        <v>14</v>
      </c>
      <c r="B39" s="37" t="s">
        <v>29</v>
      </c>
      <c r="C39" s="38" t="s">
        <v>30</v>
      </c>
      <c r="D39" s="28">
        <v>294</v>
      </c>
      <c r="E39" s="39">
        <f t="shared" si="7"/>
        <v>310</v>
      </c>
      <c r="F39" s="41">
        <f t="shared" si="8"/>
        <v>16</v>
      </c>
      <c r="G39" s="31">
        <v>1.0364</v>
      </c>
      <c r="H39" s="34">
        <f t="shared" si="3"/>
        <v>321</v>
      </c>
      <c r="I39" s="34">
        <f t="shared" si="0"/>
        <v>11</v>
      </c>
      <c r="J39" s="40">
        <f t="shared" si="1"/>
        <v>337</v>
      </c>
      <c r="K39" s="34">
        <f t="shared" si="4"/>
        <v>3.37</v>
      </c>
      <c r="L39" s="34">
        <f t="shared" si="5"/>
        <v>3.4</v>
      </c>
      <c r="M39" s="34">
        <f t="shared" si="6"/>
        <v>340</v>
      </c>
      <c r="N39" s="35">
        <v>340</v>
      </c>
      <c r="O39" s="36">
        <f t="shared" si="2"/>
        <v>1.0591900311526479</v>
      </c>
    </row>
    <row r="40" spans="1:15" ht="16.95" customHeight="1">
      <c r="A40" s="25">
        <v>15</v>
      </c>
      <c r="B40" s="37" t="s">
        <v>31</v>
      </c>
      <c r="C40" s="38" t="s">
        <v>32</v>
      </c>
      <c r="D40" s="28">
        <v>896</v>
      </c>
      <c r="E40" s="39">
        <f t="shared" si="7"/>
        <v>930</v>
      </c>
      <c r="F40" s="41">
        <f t="shared" si="8"/>
        <v>34</v>
      </c>
      <c r="G40" s="31">
        <v>1.0364</v>
      </c>
      <c r="H40" s="34">
        <f t="shared" si="3"/>
        <v>964</v>
      </c>
      <c r="I40" s="34">
        <f t="shared" si="0"/>
        <v>34</v>
      </c>
      <c r="J40" s="40">
        <f t="shared" si="1"/>
        <v>1012</v>
      </c>
      <c r="K40" s="34">
        <f t="shared" si="4"/>
        <v>10.119999999999999</v>
      </c>
      <c r="L40" s="34">
        <f t="shared" si="5"/>
        <v>10.1</v>
      </c>
      <c r="M40" s="34">
        <f t="shared" si="6"/>
        <v>1010</v>
      </c>
      <c r="N40" s="35">
        <v>1010</v>
      </c>
      <c r="O40" s="36">
        <f t="shared" si="2"/>
        <v>1.0477178423236515</v>
      </c>
    </row>
    <row r="41" spans="1:15" ht="16.95" customHeight="1">
      <c r="A41" s="25">
        <v>16</v>
      </c>
      <c r="B41" s="37" t="s">
        <v>33</v>
      </c>
      <c r="C41" s="38" t="s">
        <v>34</v>
      </c>
      <c r="D41" s="28">
        <v>294</v>
      </c>
      <c r="E41" s="39">
        <f t="shared" si="7"/>
        <v>310</v>
      </c>
      <c r="F41" s="41">
        <f t="shared" si="8"/>
        <v>16</v>
      </c>
      <c r="G41" s="31">
        <v>1.0364</v>
      </c>
      <c r="H41" s="34">
        <f t="shared" si="3"/>
        <v>321</v>
      </c>
      <c r="I41" s="34">
        <f t="shared" si="0"/>
        <v>11</v>
      </c>
      <c r="J41" s="40">
        <f t="shared" si="1"/>
        <v>337</v>
      </c>
      <c r="K41" s="34">
        <f t="shared" si="4"/>
        <v>3.37</v>
      </c>
      <c r="L41" s="34">
        <f t="shared" si="5"/>
        <v>3.4</v>
      </c>
      <c r="M41" s="34">
        <f t="shared" si="6"/>
        <v>340</v>
      </c>
      <c r="N41" s="35">
        <v>340</v>
      </c>
      <c r="O41" s="36">
        <f t="shared" si="2"/>
        <v>1.0591900311526479</v>
      </c>
    </row>
    <row r="42" spans="1:15" ht="16.95" customHeight="1">
      <c r="A42" s="25">
        <v>17</v>
      </c>
      <c r="B42" s="37" t="s">
        <v>35</v>
      </c>
      <c r="C42" s="38" t="s">
        <v>36</v>
      </c>
      <c r="D42" s="28">
        <v>73</v>
      </c>
      <c r="E42" s="39">
        <f t="shared" si="7"/>
        <v>80</v>
      </c>
      <c r="F42" s="41">
        <f t="shared" si="8"/>
        <v>7</v>
      </c>
      <c r="G42" s="31">
        <v>1.0364</v>
      </c>
      <c r="H42" s="34">
        <f t="shared" si="3"/>
        <v>83</v>
      </c>
      <c r="I42" s="34">
        <f t="shared" si="0"/>
        <v>3</v>
      </c>
      <c r="J42" s="40">
        <f t="shared" si="1"/>
        <v>87</v>
      </c>
      <c r="K42" s="34">
        <f t="shared" si="4"/>
        <v>0.87</v>
      </c>
      <c r="L42" s="34">
        <f t="shared" si="5"/>
        <v>0.9</v>
      </c>
      <c r="M42" s="34">
        <f t="shared" si="6"/>
        <v>90</v>
      </c>
      <c r="N42" s="35">
        <v>100</v>
      </c>
      <c r="O42" s="36">
        <f t="shared" si="2"/>
        <v>1.2048192771084338</v>
      </c>
    </row>
    <row r="43" spans="1:15" ht="16.95" customHeight="1">
      <c r="A43" s="25">
        <v>18</v>
      </c>
      <c r="B43" s="37" t="s">
        <v>37</v>
      </c>
      <c r="C43" s="38" t="s">
        <v>38</v>
      </c>
      <c r="D43" s="28">
        <v>147</v>
      </c>
      <c r="E43" s="39">
        <f t="shared" si="7"/>
        <v>150</v>
      </c>
      <c r="F43" s="41">
        <f t="shared" si="8"/>
        <v>3</v>
      </c>
      <c r="G43" s="31">
        <v>1.0364</v>
      </c>
      <c r="H43" s="34">
        <f t="shared" si="3"/>
        <v>155</v>
      </c>
      <c r="I43" s="34">
        <f t="shared" si="0"/>
        <v>5</v>
      </c>
      <c r="J43" s="40">
        <f t="shared" si="1"/>
        <v>163</v>
      </c>
      <c r="K43" s="34">
        <f t="shared" si="4"/>
        <v>1.63</v>
      </c>
      <c r="L43" s="34">
        <f t="shared" si="5"/>
        <v>1.6</v>
      </c>
      <c r="M43" s="34">
        <f t="shared" si="6"/>
        <v>160</v>
      </c>
      <c r="N43" s="35">
        <v>160</v>
      </c>
      <c r="O43" s="36">
        <f t="shared" si="2"/>
        <v>1.032258064516129</v>
      </c>
    </row>
    <row r="44" spans="1:15" ht="16.95" customHeight="1">
      <c r="A44" s="25">
        <v>19</v>
      </c>
      <c r="B44" s="37" t="s">
        <v>39</v>
      </c>
      <c r="C44" s="38" t="s">
        <v>40</v>
      </c>
      <c r="D44" s="28">
        <v>147</v>
      </c>
      <c r="E44" s="39">
        <f t="shared" si="7"/>
        <v>150</v>
      </c>
      <c r="F44" s="41">
        <f t="shared" si="8"/>
        <v>3</v>
      </c>
      <c r="G44" s="31">
        <v>1.0364</v>
      </c>
      <c r="H44" s="34">
        <f t="shared" si="3"/>
        <v>155</v>
      </c>
      <c r="I44" s="34">
        <f t="shared" si="0"/>
        <v>5</v>
      </c>
      <c r="J44" s="40">
        <f t="shared" si="1"/>
        <v>163</v>
      </c>
      <c r="K44" s="34">
        <f t="shared" si="4"/>
        <v>1.63</v>
      </c>
      <c r="L44" s="34">
        <f t="shared" si="5"/>
        <v>1.6</v>
      </c>
      <c r="M44" s="34">
        <f t="shared" si="6"/>
        <v>160</v>
      </c>
      <c r="N44" s="35">
        <v>160</v>
      </c>
      <c r="O44" s="36">
        <f t="shared" si="2"/>
        <v>1.032258064516129</v>
      </c>
    </row>
    <row r="45" spans="1:15" ht="16.95" customHeight="1">
      <c r="A45" s="25">
        <v>20</v>
      </c>
      <c r="B45" s="37" t="s">
        <v>41</v>
      </c>
      <c r="C45" s="38" t="s">
        <v>42</v>
      </c>
      <c r="D45" s="28">
        <v>147</v>
      </c>
      <c r="E45" s="39">
        <f t="shared" si="7"/>
        <v>150</v>
      </c>
      <c r="F45" s="41">
        <f t="shared" si="8"/>
        <v>3</v>
      </c>
      <c r="G45" s="31">
        <v>1.0364</v>
      </c>
      <c r="H45" s="34">
        <f t="shared" si="3"/>
        <v>155</v>
      </c>
      <c r="I45" s="34">
        <f t="shared" si="0"/>
        <v>5</v>
      </c>
      <c r="J45" s="40">
        <f t="shared" si="1"/>
        <v>163</v>
      </c>
      <c r="K45" s="34">
        <f t="shared" si="4"/>
        <v>1.63</v>
      </c>
      <c r="L45" s="34">
        <f t="shared" si="5"/>
        <v>1.6</v>
      </c>
      <c r="M45" s="34">
        <f t="shared" si="6"/>
        <v>160</v>
      </c>
      <c r="N45" s="35">
        <v>160</v>
      </c>
      <c r="O45" s="36">
        <f t="shared" si="2"/>
        <v>1.032258064516129</v>
      </c>
    </row>
    <row r="46" spans="1:15" ht="16.95" customHeight="1">
      <c r="A46" s="25">
        <v>21</v>
      </c>
      <c r="B46" s="37" t="s">
        <v>43</v>
      </c>
      <c r="C46" s="38" t="s">
        <v>44</v>
      </c>
      <c r="D46" s="28">
        <v>88</v>
      </c>
      <c r="E46" s="39">
        <f t="shared" si="7"/>
        <v>90</v>
      </c>
      <c r="F46" s="41">
        <f t="shared" si="8"/>
        <v>2</v>
      </c>
      <c r="G46" s="31">
        <v>1.0364</v>
      </c>
      <c r="H46" s="34">
        <f t="shared" si="3"/>
        <v>93</v>
      </c>
      <c r="I46" s="34">
        <f t="shared" si="0"/>
        <v>3</v>
      </c>
      <c r="J46" s="40">
        <f t="shared" si="1"/>
        <v>98</v>
      </c>
      <c r="K46" s="34">
        <f t="shared" si="4"/>
        <v>0.98</v>
      </c>
      <c r="L46" s="34">
        <f t="shared" si="5"/>
        <v>1</v>
      </c>
      <c r="M46" s="34">
        <f t="shared" si="6"/>
        <v>100</v>
      </c>
      <c r="N46" s="35">
        <v>100</v>
      </c>
      <c r="O46" s="36">
        <f t="shared" si="2"/>
        <v>1.075268817204301</v>
      </c>
    </row>
    <row r="47" spans="1:15" ht="16.95" customHeight="1">
      <c r="A47" s="25">
        <v>22</v>
      </c>
      <c r="B47" s="37" t="s">
        <v>45</v>
      </c>
      <c r="C47" s="38" t="s">
        <v>620</v>
      </c>
      <c r="D47" s="28">
        <v>147</v>
      </c>
      <c r="E47" s="39">
        <f t="shared" si="7"/>
        <v>150</v>
      </c>
      <c r="F47" s="30">
        <f t="shared" si="8"/>
        <v>3</v>
      </c>
      <c r="G47" s="31">
        <v>1.0364</v>
      </c>
      <c r="H47" s="34">
        <f t="shared" si="3"/>
        <v>155</v>
      </c>
      <c r="I47" s="34">
        <f t="shared" si="0"/>
        <v>5</v>
      </c>
      <c r="J47" s="40">
        <f t="shared" si="1"/>
        <v>163</v>
      </c>
      <c r="K47" s="34">
        <f t="shared" si="4"/>
        <v>1.63</v>
      </c>
      <c r="L47" s="34">
        <f t="shared" si="5"/>
        <v>1.6</v>
      </c>
      <c r="M47" s="34">
        <f t="shared" si="6"/>
        <v>160</v>
      </c>
      <c r="N47" s="35">
        <v>160</v>
      </c>
      <c r="O47" s="36">
        <f t="shared" si="2"/>
        <v>1.032258064516129</v>
      </c>
    </row>
    <row r="48" spans="1:15" ht="16.95" customHeight="1">
      <c r="A48" s="25" t="s">
        <v>623</v>
      </c>
      <c r="B48" s="37" t="s">
        <v>624</v>
      </c>
      <c r="C48" s="38" t="s">
        <v>625</v>
      </c>
      <c r="D48" s="28">
        <v>274</v>
      </c>
      <c r="E48" s="39">
        <f t="shared" si="7"/>
        <v>290</v>
      </c>
      <c r="F48" s="30">
        <f t="shared" si="8"/>
        <v>16</v>
      </c>
      <c r="G48" s="31">
        <v>1.0364</v>
      </c>
      <c r="H48" s="34">
        <f t="shared" si="3"/>
        <v>301</v>
      </c>
      <c r="I48" s="34">
        <f t="shared" si="0"/>
        <v>11</v>
      </c>
      <c r="J48" s="40">
        <f t="shared" si="1"/>
        <v>316</v>
      </c>
      <c r="K48" s="34">
        <f t="shared" si="4"/>
        <v>3.16</v>
      </c>
      <c r="L48" s="34">
        <f t="shared" si="5"/>
        <v>3.2</v>
      </c>
      <c r="M48" s="34">
        <f t="shared" si="6"/>
        <v>320</v>
      </c>
      <c r="N48" s="35">
        <v>320</v>
      </c>
      <c r="O48" s="36">
        <f t="shared" si="2"/>
        <v>1.0631229235880399</v>
      </c>
    </row>
    <row r="49" spans="1:15" ht="16.95" customHeight="1">
      <c r="A49" s="25">
        <v>23</v>
      </c>
      <c r="B49" s="37" t="s">
        <v>46</v>
      </c>
      <c r="C49" s="38" t="s">
        <v>621</v>
      </c>
      <c r="D49" s="28">
        <v>147</v>
      </c>
      <c r="E49" s="39">
        <f t="shared" si="7"/>
        <v>150</v>
      </c>
      <c r="F49" s="30">
        <f t="shared" si="8"/>
        <v>3</v>
      </c>
      <c r="G49" s="31">
        <v>1.0364</v>
      </c>
      <c r="H49" s="34">
        <f t="shared" si="3"/>
        <v>155</v>
      </c>
      <c r="I49" s="34">
        <f t="shared" si="0"/>
        <v>5</v>
      </c>
      <c r="J49" s="40">
        <f t="shared" si="1"/>
        <v>163</v>
      </c>
      <c r="K49" s="34">
        <f t="shared" si="4"/>
        <v>1.63</v>
      </c>
      <c r="L49" s="34">
        <f t="shared" si="5"/>
        <v>1.6</v>
      </c>
      <c r="M49" s="34">
        <f t="shared" si="6"/>
        <v>160</v>
      </c>
      <c r="N49" s="35">
        <v>160</v>
      </c>
      <c r="O49" s="36">
        <f t="shared" si="2"/>
        <v>1.032258064516129</v>
      </c>
    </row>
    <row r="50" spans="1:15" ht="16.95" customHeight="1">
      <c r="A50" s="25">
        <v>24</v>
      </c>
      <c r="B50" s="37" t="s">
        <v>47</v>
      </c>
      <c r="C50" s="38" t="s">
        <v>622</v>
      </c>
      <c r="D50" s="28">
        <v>59</v>
      </c>
      <c r="E50" s="39">
        <f t="shared" si="7"/>
        <v>60</v>
      </c>
      <c r="F50" s="30">
        <f t="shared" si="8"/>
        <v>1</v>
      </c>
      <c r="G50" s="31">
        <v>1.0364</v>
      </c>
      <c r="H50" s="34">
        <f t="shared" si="3"/>
        <v>62</v>
      </c>
      <c r="I50" s="34">
        <f t="shared" si="0"/>
        <v>2</v>
      </c>
      <c r="J50" s="40">
        <f t="shared" si="1"/>
        <v>65</v>
      </c>
      <c r="K50" s="34">
        <f t="shared" si="4"/>
        <v>0.65</v>
      </c>
      <c r="L50" s="34">
        <f t="shared" si="5"/>
        <v>0.7</v>
      </c>
      <c r="M50" s="34">
        <f t="shared" si="6"/>
        <v>70</v>
      </c>
      <c r="N50" s="35">
        <v>160</v>
      </c>
      <c r="O50" s="36">
        <f t="shared" si="2"/>
        <v>2.5806451612903225</v>
      </c>
    </row>
    <row r="51" spans="1:15" ht="16.95" customHeight="1">
      <c r="A51" s="25">
        <v>25</v>
      </c>
      <c r="B51" s="37" t="s">
        <v>48</v>
      </c>
      <c r="C51" s="38" t="s">
        <v>49</v>
      </c>
      <c r="D51" s="28">
        <v>147</v>
      </c>
      <c r="E51" s="39">
        <f>ROUND(D51*1.043/10,0)*10</f>
        <v>150</v>
      </c>
      <c r="F51" s="30">
        <f t="shared" si="8"/>
        <v>3</v>
      </c>
      <c r="G51" s="31">
        <v>1.0364</v>
      </c>
      <c r="H51" s="34">
        <f t="shared" si="3"/>
        <v>155</v>
      </c>
      <c r="I51" s="34">
        <f t="shared" si="0"/>
        <v>5</v>
      </c>
      <c r="J51" s="40">
        <f t="shared" si="1"/>
        <v>163</v>
      </c>
      <c r="K51" s="34">
        <f t="shared" si="4"/>
        <v>1.63</v>
      </c>
      <c r="L51" s="34">
        <f t="shared" si="5"/>
        <v>1.6</v>
      </c>
      <c r="M51" s="34">
        <f t="shared" si="6"/>
        <v>160</v>
      </c>
      <c r="N51" s="35">
        <v>160</v>
      </c>
      <c r="O51" s="36">
        <f t="shared" si="2"/>
        <v>1.032258064516129</v>
      </c>
    </row>
    <row r="52" spans="1:15" ht="16.95" customHeight="1">
      <c r="A52" s="25">
        <v>26</v>
      </c>
      <c r="B52" s="37" t="s">
        <v>50</v>
      </c>
      <c r="C52" s="38" t="s">
        <v>51</v>
      </c>
      <c r="D52" s="28">
        <v>147</v>
      </c>
      <c r="E52" s="39">
        <f t="shared" si="7"/>
        <v>150</v>
      </c>
      <c r="F52" s="30">
        <f t="shared" si="8"/>
        <v>3</v>
      </c>
      <c r="G52" s="31">
        <v>1.0364</v>
      </c>
      <c r="H52" s="34">
        <f t="shared" si="3"/>
        <v>155</v>
      </c>
      <c r="I52" s="34">
        <f t="shared" si="0"/>
        <v>5</v>
      </c>
      <c r="J52" s="40">
        <f t="shared" si="1"/>
        <v>163</v>
      </c>
      <c r="K52" s="34">
        <f t="shared" si="4"/>
        <v>1.63</v>
      </c>
      <c r="L52" s="34">
        <f t="shared" si="5"/>
        <v>1.6</v>
      </c>
      <c r="M52" s="34">
        <f t="shared" si="6"/>
        <v>160</v>
      </c>
      <c r="N52" s="35">
        <v>160</v>
      </c>
      <c r="O52" s="36">
        <f t="shared" si="2"/>
        <v>1.032258064516129</v>
      </c>
    </row>
    <row r="53" spans="1:15" ht="16.95" customHeight="1">
      <c r="A53" s="25">
        <v>27</v>
      </c>
      <c r="B53" s="37" t="s">
        <v>52</v>
      </c>
      <c r="C53" s="38" t="s">
        <v>53</v>
      </c>
      <c r="D53" s="28">
        <v>147</v>
      </c>
      <c r="E53" s="39">
        <f t="shared" si="7"/>
        <v>150</v>
      </c>
      <c r="F53" s="30">
        <f t="shared" si="8"/>
        <v>3</v>
      </c>
      <c r="G53" s="31">
        <v>1.0364</v>
      </c>
      <c r="H53" s="34">
        <f t="shared" si="3"/>
        <v>155</v>
      </c>
      <c r="I53" s="34">
        <f t="shared" si="0"/>
        <v>5</v>
      </c>
      <c r="J53" s="40">
        <f t="shared" si="1"/>
        <v>163</v>
      </c>
      <c r="K53" s="34">
        <f t="shared" si="4"/>
        <v>1.63</v>
      </c>
      <c r="L53" s="34">
        <f t="shared" si="5"/>
        <v>1.6</v>
      </c>
      <c r="M53" s="34">
        <f t="shared" si="6"/>
        <v>160</v>
      </c>
      <c r="N53" s="35">
        <v>160</v>
      </c>
      <c r="O53" s="36">
        <f t="shared" si="2"/>
        <v>1.032258064516129</v>
      </c>
    </row>
    <row r="54" spans="1:15" ht="16.95" customHeight="1">
      <c r="A54" s="25">
        <v>28</v>
      </c>
      <c r="B54" s="37" t="s">
        <v>54</v>
      </c>
      <c r="C54" s="38" t="s">
        <v>55</v>
      </c>
      <c r="D54" s="28">
        <v>147</v>
      </c>
      <c r="E54" s="39">
        <f t="shared" si="7"/>
        <v>150</v>
      </c>
      <c r="F54" s="30">
        <f t="shared" si="8"/>
        <v>3</v>
      </c>
      <c r="G54" s="31">
        <v>1.0364</v>
      </c>
      <c r="H54" s="34">
        <f t="shared" si="3"/>
        <v>155</v>
      </c>
      <c r="I54" s="34">
        <f t="shared" si="0"/>
        <v>5</v>
      </c>
      <c r="J54" s="40">
        <f t="shared" si="1"/>
        <v>163</v>
      </c>
      <c r="K54" s="34">
        <f t="shared" si="4"/>
        <v>1.63</v>
      </c>
      <c r="L54" s="34">
        <f t="shared" si="5"/>
        <v>1.6</v>
      </c>
      <c r="M54" s="34">
        <f t="shared" si="6"/>
        <v>160</v>
      </c>
      <c r="N54" s="35">
        <v>160</v>
      </c>
      <c r="O54" s="36">
        <f t="shared" si="2"/>
        <v>1.032258064516129</v>
      </c>
    </row>
    <row r="55" spans="1:15" ht="16.95" customHeight="1">
      <c r="A55" s="25">
        <v>29</v>
      </c>
      <c r="B55" s="37" t="s">
        <v>56</v>
      </c>
      <c r="C55" s="38" t="s">
        <v>57</v>
      </c>
      <c r="D55" s="28">
        <v>147</v>
      </c>
      <c r="E55" s="39">
        <f t="shared" si="7"/>
        <v>150</v>
      </c>
      <c r="F55" s="30">
        <f t="shared" si="8"/>
        <v>3</v>
      </c>
      <c r="G55" s="31">
        <v>1.0364</v>
      </c>
      <c r="H55" s="34">
        <f t="shared" si="3"/>
        <v>155</v>
      </c>
      <c r="I55" s="34">
        <f t="shared" si="0"/>
        <v>5</v>
      </c>
      <c r="J55" s="40">
        <f t="shared" si="1"/>
        <v>163</v>
      </c>
      <c r="K55" s="34">
        <f t="shared" si="4"/>
        <v>1.63</v>
      </c>
      <c r="L55" s="34">
        <f t="shared" si="5"/>
        <v>1.6</v>
      </c>
      <c r="M55" s="34">
        <f t="shared" si="6"/>
        <v>160</v>
      </c>
      <c r="N55" s="35">
        <v>160</v>
      </c>
      <c r="O55" s="36">
        <f t="shared" si="2"/>
        <v>1.032258064516129</v>
      </c>
    </row>
    <row r="56" spans="1:15" ht="16.95" customHeight="1">
      <c r="A56" s="25">
        <v>30</v>
      </c>
      <c r="B56" s="37" t="s">
        <v>58</v>
      </c>
      <c r="C56" s="38" t="s">
        <v>59</v>
      </c>
      <c r="D56" s="28">
        <v>459</v>
      </c>
      <c r="E56" s="39">
        <f t="shared" si="7"/>
        <v>480</v>
      </c>
      <c r="F56" s="30">
        <f t="shared" si="8"/>
        <v>21</v>
      </c>
      <c r="G56" s="31">
        <v>1.0364</v>
      </c>
      <c r="H56" s="34">
        <f t="shared" si="3"/>
        <v>497</v>
      </c>
      <c r="I56" s="34">
        <f t="shared" si="0"/>
        <v>17</v>
      </c>
      <c r="J56" s="40">
        <f t="shared" si="1"/>
        <v>522</v>
      </c>
      <c r="K56" s="34">
        <f t="shared" si="4"/>
        <v>5.22</v>
      </c>
      <c r="L56" s="34">
        <f t="shared" si="5"/>
        <v>5.2</v>
      </c>
      <c r="M56" s="34">
        <f t="shared" si="6"/>
        <v>520</v>
      </c>
      <c r="N56" s="35">
        <v>520</v>
      </c>
      <c r="O56" s="36">
        <f t="shared" si="2"/>
        <v>1.0462776659959758</v>
      </c>
    </row>
    <row r="57" spans="1:15" ht="31.2" customHeight="1">
      <c r="A57" s="25">
        <v>31</v>
      </c>
      <c r="B57" s="37" t="s">
        <v>60</v>
      </c>
      <c r="C57" s="38" t="s">
        <v>61</v>
      </c>
      <c r="D57" s="28">
        <v>455</v>
      </c>
      <c r="E57" s="39">
        <f t="shared" si="7"/>
        <v>470</v>
      </c>
      <c r="F57" s="41">
        <f t="shared" si="8"/>
        <v>15</v>
      </c>
      <c r="G57" s="31">
        <v>1.0364</v>
      </c>
      <c r="H57" s="34">
        <f t="shared" si="3"/>
        <v>487</v>
      </c>
      <c r="I57" s="34">
        <f t="shared" si="0"/>
        <v>17</v>
      </c>
      <c r="J57" s="40">
        <f t="shared" si="1"/>
        <v>511</v>
      </c>
      <c r="K57" s="34">
        <f t="shared" si="4"/>
        <v>5.1100000000000003</v>
      </c>
      <c r="L57" s="34">
        <f t="shared" si="5"/>
        <v>5.0999999999999996</v>
      </c>
      <c r="M57" s="34">
        <f t="shared" si="6"/>
        <v>509.99999999999994</v>
      </c>
      <c r="N57" s="35">
        <v>509.99999999999994</v>
      </c>
      <c r="O57" s="36">
        <f t="shared" si="2"/>
        <v>1.0472279260780286</v>
      </c>
    </row>
    <row r="58" spans="1:15" ht="16.95" customHeight="1">
      <c r="A58" s="25">
        <v>32</v>
      </c>
      <c r="B58" s="37" t="s">
        <v>62</v>
      </c>
      <c r="C58" s="38" t="s">
        <v>63</v>
      </c>
      <c r="D58" s="28">
        <v>294</v>
      </c>
      <c r="E58" s="39">
        <f t="shared" si="7"/>
        <v>310</v>
      </c>
      <c r="F58" s="41">
        <f t="shared" si="8"/>
        <v>16</v>
      </c>
      <c r="G58" s="31">
        <v>1.0364</v>
      </c>
      <c r="H58" s="34">
        <f t="shared" si="3"/>
        <v>321</v>
      </c>
      <c r="I58" s="34">
        <f t="shared" si="0"/>
        <v>11</v>
      </c>
      <c r="J58" s="40">
        <f t="shared" si="1"/>
        <v>337</v>
      </c>
      <c r="K58" s="34">
        <f t="shared" si="4"/>
        <v>3.37</v>
      </c>
      <c r="L58" s="34">
        <f t="shared" si="5"/>
        <v>3.4</v>
      </c>
      <c r="M58" s="34">
        <f t="shared" si="6"/>
        <v>340</v>
      </c>
      <c r="N58" s="35">
        <v>200</v>
      </c>
      <c r="O58" s="36">
        <f t="shared" si="2"/>
        <v>0.62305295950155759</v>
      </c>
    </row>
    <row r="59" spans="1:15" ht="16.95" customHeight="1">
      <c r="A59" s="25">
        <v>33</v>
      </c>
      <c r="B59" s="37" t="s">
        <v>64</v>
      </c>
      <c r="C59" s="38" t="s">
        <v>65</v>
      </c>
      <c r="D59" s="28">
        <v>602</v>
      </c>
      <c r="E59" s="39">
        <f>ROUND(D59*1.043/10,0)*10</f>
        <v>630</v>
      </c>
      <c r="F59" s="41">
        <f t="shared" si="8"/>
        <v>28</v>
      </c>
      <c r="G59" s="31">
        <v>1.0364</v>
      </c>
      <c r="H59" s="34">
        <f>ROUND(E59*G59, 0)</f>
        <v>653</v>
      </c>
      <c r="I59" s="34">
        <f t="shared" si="0"/>
        <v>23</v>
      </c>
      <c r="J59" s="40">
        <f t="shared" si="1"/>
        <v>686</v>
      </c>
      <c r="K59" s="34">
        <f t="shared" si="4"/>
        <v>6.86</v>
      </c>
      <c r="L59" s="34">
        <f t="shared" si="5"/>
        <v>6.9</v>
      </c>
      <c r="M59" s="34">
        <f t="shared" si="6"/>
        <v>690</v>
      </c>
      <c r="N59" s="35">
        <v>690</v>
      </c>
      <c r="O59" s="36">
        <f t="shared" si="2"/>
        <v>1.0566615620214395</v>
      </c>
    </row>
    <row r="60" spans="1:15" ht="16.95" customHeight="1">
      <c r="A60" s="25">
        <v>34</v>
      </c>
      <c r="B60" s="37" t="s">
        <v>66</v>
      </c>
      <c r="C60" s="38" t="s">
        <v>67</v>
      </c>
      <c r="D60" s="28">
        <v>294</v>
      </c>
      <c r="E60" s="39">
        <f t="shared" si="7"/>
        <v>310</v>
      </c>
      <c r="F60" s="41">
        <f t="shared" si="8"/>
        <v>16</v>
      </c>
      <c r="G60" s="31">
        <v>1.0364</v>
      </c>
      <c r="H60" s="34">
        <f t="shared" si="3"/>
        <v>321</v>
      </c>
      <c r="I60" s="34">
        <f t="shared" si="0"/>
        <v>11</v>
      </c>
      <c r="J60" s="40">
        <f t="shared" si="1"/>
        <v>337</v>
      </c>
      <c r="K60" s="34">
        <f t="shared" si="4"/>
        <v>3.37</v>
      </c>
      <c r="L60" s="34">
        <f t="shared" si="5"/>
        <v>3.4</v>
      </c>
      <c r="M60" s="34">
        <f t="shared" si="6"/>
        <v>340</v>
      </c>
      <c r="N60" s="35">
        <v>340</v>
      </c>
      <c r="O60" s="36">
        <f t="shared" si="2"/>
        <v>1.0591900311526479</v>
      </c>
    </row>
    <row r="61" spans="1:15" ht="16.95" customHeight="1">
      <c r="A61" s="25">
        <v>35</v>
      </c>
      <c r="B61" s="37" t="s">
        <v>68</v>
      </c>
      <c r="C61" s="38" t="s">
        <v>69</v>
      </c>
      <c r="D61" s="28">
        <v>61</v>
      </c>
      <c r="E61" s="39">
        <v>65</v>
      </c>
      <c r="F61" s="41">
        <f t="shared" si="8"/>
        <v>4</v>
      </c>
      <c r="G61" s="31">
        <v>1.0364</v>
      </c>
      <c r="H61" s="34">
        <f t="shared" si="3"/>
        <v>67</v>
      </c>
      <c r="I61" s="34">
        <f t="shared" si="0"/>
        <v>2</v>
      </c>
      <c r="J61" s="40">
        <f t="shared" si="1"/>
        <v>70</v>
      </c>
      <c r="K61" s="34">
        <f t="shared" si="4"/>
        <v>0.7</v>
      </c>
      <c r="L61" s="34">
        <f t="shared" si="5"/>
        <v>0.7</v>
      </c>
      <c r="M61" s="34">
        <f t="shared" si="6"/>
        <v>70</v>
      </c>
      <c r="N61" s="35">
        <v>70</v>
      </c>
      <c r="O61" s="36">
        <f t="shared" si="2"/>
        <v>1.044776119402985</v>
      </c>
    </row>
    <row r="62" spans="1:15" ht="16.95" customHeight="1">
      <c r="A62" s="25">
        <v>36</v>
      </c>
      <c r="B62" s="37" t="s">
        <v>70</v>
      </c>
      <c r="C62" s="38" t="s">
        <v>71</v>
      </c>
      <c r="D62" s="28">
        <v>147</v>
      </c>
      <c r="E62" s="39">
        <f t="shared" si="7"/>
        <v>150</v>
      </c>
      <c r="F62" s="41">
        <f t="shared" si="8"/>
        <v>3</v>
      </c>
      <c r="G62" s="31">
        <v>1.0364</v>
      </c>
      <c r="H62" s="34">
        <f t="shared" si="3"/>
        <v>155</v>
      </c>
      <c r="I62" s="34">
        <f t="shared" si="0"/>
        <v>5</v>
      </c>
      <c r="J62" s="40">
        <f t="shared" si="1"/>
        <v>163</v>
      </c>
      <c r="K62" s="34">
        <f t="shared" si="4"/>
        <v>1.63</v>
      </c>
      <c r="L62" s="34">
        <f t="shared" si="5"/>
        <v>1.6</v>
      </c>
      <c r="M62" s="34">
        <f t="shared" si="6"/>
        <v>160</v>
      </c>
      <c r="N62" s="35">
        <v>160</v>
      </c>
      <c r="O62" s="36">
        <f t="shared" si="2"/>
        <v>1.032258064516129</v>
      </c>
    </row>
    <row r="63" spans="1:15" ht="16.95" customHeight="1">
      <c r="A63" s="25">
        <v>37</v>
      </c>
      <c r="B63" s="37" t="s">
        <v>72</v>
      </c>
      <c r="C63" s="38" t="s">
        <v>73</v>
      </c>
      <c r="D63" s="28">
        <v>147</v>
      </c>
      <c r="E63" s="39">
        <f t="shared" si="7"/>
        <v>150</v>
      </c>
      <c r="F63" s="41">
        <f t="shared" si="8"/>
        <v>3</v>
      </c>
      <c r="G63" s="31">
        <v>1.0364</v>
      </c>
      <c r="H63" s="34">
        <f t="shared" si="3"/>
        <v>155</v>
      </c>
      <c r="I63" s="34">
        <f t="shared" si="0"/>
        <v>5</v>
      </c>
      <c r="J63" s="40">
        <f t="shared" si="1"/>
        <v>163</v>
      </c>
      <c r="K63" s="34">
        <f t="shared" si="4"/>
        <v>1.63</v>
      </c>
      <c r="L63" s="34">
        <f t="shared" si="5"/>
        <v>1.6</v>
      </c>
      <c r="M63" s="34">
        <f t="shared" si="6"/>
        <v>160</v>
      </c>
      <c r="N63" s="35">
        <v>160</v>
      </c>
      <c r="O63" s="36">
        <f t="shared" si="2"/>
        <v>1.032258064516129</v>
      </c>
    </row>
    <row r="64" spans="1:15" ht="16.95" customHeight="1">
      <c r="A64" s="25">
        <v>38</v>
      </c>
      <c r="B64" s="37" t="s">
        <v>74</v>
      </c>
      <c r="C64" s="38" t="s">
        <v>75</v>
      </c>
      <c r="D64" s="28">
        <v>294</v>
      </c>
      <c r="E64" s="39">
        <f t="shared" si="7"/>
        <v>310</v>
      </c>
      <c r="F64" s="41">
        <f t="shared" si="8"/>
        <v>16</v>
      </c>
      <c r="G64" s="31">
        <v>1.0364</v>
      </c>
      <c r="H64" s="34">
        <f t="shared" si="3"/>
        <v>321</v>
      </c>
      <c r="I64" s="34">
        <f t="shared" si="0"/>
        <v>11</v>
      </c>
      <c r="J64" s="40">
        <f t="shared" si="1"/>
        <v>337</v>
      </c>
      <c r="K64" s="34">
        <f t="shared" si="4"/>
        <v>3.37</v>
      </c>
      <c r="L64" s="34">
        <f t="shared" si="5"/>
        <v>3.4</v>
      </c>
      <c r="M64" s="34">
        <f t="shared" si="6"/>
        <v>340</v>
      </c>
      <c r="N64" s="35">
        <v>340</v>
      </c>
      <c r="O64" s="36">
        <f t="shared" si="2"/>
        <v>1.0591900311526479</v>
      </c>
    </row>
    <row r="65" spans="1:15" ht="16.95" customHeight="1">
      <c r="A65" s="25">
        <v>39</v>
      </c>
      <c r="B65" s="37" t="s">
        <v>76</v>
      </c>
      <c r="C65" s="38" t="s">
        <v>77</v>
      </c>
      <c r="D65" s="28">
        <v>294</v>
      </c>
      <c r="E65" s="39">
        <f t="shared" si="7"/>
        <v>310</v>
      </c>
      <c r="F65" s="41">
        <f t="shared" si="8"/>
        <v>16</v>
      </c>
      <c r="G65" s="31">
        <v>1.0364</v>
      </c>
      <c r="H65" s="34">
        <f t="shared" si="3"/>
        <v>321</v>
      </c>
      <c r="I65" s="34">
        <f t="shared" si="0"/>
        <v>11</v>
      </c>
      <c r="J65" s="40">
        <f t="shared" si="1"/>
        <v>337</v>
      </c>
      <c r="K65" s="34">
        <f t="shared" si="4"/>
        <v>3.37</v>
      </c>
      <c r="L65" s="34">
        <f t="shared" si="5"/>
        <v>3.4</v>
      </c>
      <c r="M65" s="34">
        <f t="shared" si="6"/>
        <v>340</v>
      </c>
      <c r="N65" s="35">
        <v>340</v>
      </c>
      <c r="O65" s="36">
        <f t="shared" si="2"/>
        <v>1.0591900311526479</v>
      </c>
    </row>
    <row r="66" spans="1:15" ht="16.95" customHeight="1">
      <c r="A66" s="25">
        <v>40</v>
      </c>
      <c r="B66" s="37" t="s">
        <v>78</v>
      </c>
      <c r="C66" s="38" t="s">
        <v>79</v>
      </c>
      <c r="D66" s="28">
        <v>44</v>
      </c>
      <c r="E66" s="39">
        <f t="shared" si="7"/>
        <v>50</v>
      </c>
      <c r="F66" s="41">
        <f t="shared" si="8"/>
        <v>6</v>
      </c>
      <c r="G66" s="31">
        <v>1.0364</v>
      </c>
      <c r="H66" s="34">
        <f t="shared" si="3"/>
        <v>52</v>
      </c>
      <c r="I66" s="34">
        <f t="shared" si="0"/>
        <v>2</v>
      </c>
      <c r="J66" s="40">
        <f t="shared" si="1"/>
        <v>55</v>
      </c>
      <c r="K66" s="34">
        <f t="shared" si="4"/>
        <v>0.55000000000000004</v>
      </c>
      <c r="L66" s="34">
        <f t="shared" si="5"/>
        <v>0.6</v>
      </c>
      <c r="M66" s="34">
        <f t="shared" si="6"/>
        <v>60</v>
      </c>
      <c r="N66" s="35">
        <v>60</v>
      </c>
      <c r="O66" s="36">
        <f t="shared" si="2"/>
        <v>1.1538461538461537</v>
      </c>
    </row>
    <row r="67" spans="1:15" ht="16.95" customHeight="1">
      <c r="A67" s="25">
        <v>41</v>
      </c>
      <c r="B67" s="37" t="s">
        <v>80</v>
      </c>
      <c r="C67" s="38" t="s">
        <v>81</v>
      </c>
      <c r="D67" s="28">
        <v>44</v>
      </c>
      <c r="E67" s="39">
        <f t="shared" si="7"/>
        <v>50</v>
      </c>
      <c r="F67" s="41">
        <f t="shared" si="8"/>
        <v>6</v>
      </c>
      <c r="G67" s="31">
        <v>1.0364</v>
      </c>
      <c r="H67" s="34">
        <f t="shared" si="3"/>
        <v>52</v>
      </c>
      <c r="I67" s="34">
        <f t="shared" si="0"/>
        <v>2</v>
      </c>
      <c r="J67" s="40">
        <f t="shared" si="1"/>
        <v>55</v>
      </c>
      <c r="K67" s="34">
        <f t="shared" si="4"/>
        <v>0.55000000000000004</v>
      </c>
      <c r="L67" s="34">
        <f t="shared" si="5"/>
        <v>0.6</v>
      </c>
      <c r="M67" s="34">
        <f t="shared" si="6"/>
        <v>60</v>
      </c>
      <c r="N67" s="35">
        <v>60</v>
      </c>
      <c r="O67" s="36">
        <f t="shared" si="2"/>
        <v>1.1538461538461537</v>
      </c>
    </row>
    <row r="68" spans="1:15" ht="16.95" customHeight="1">
      <c r="A68" s="25">
        <v>42</v>
      </c>
      <c r="B68" s="37" t="s">
        <v>82</v>
      </c>
      <c r="C68" s="38" t="s">
        <v>83</v>
      </c>
      <c r="D68" s="28">
        <v>44</v>
      </c>
      <c r="E68" s="39">
        <f t="shared" si="7"/>
        <v>50</v>
      </c>
      <c r="F68" s="41">
        <f t="shared" si="8"/>
        <v>6</v>
      </c>
      <c r="G68" s="31">
        <v>1.0364</v>
      </c>
      <c r="H68" s="34">
        <f t="shared" si="3"/>
        <v>52</v>
      </c>
      <c r="I68" s="34">
        <f t="shared" si="0"/>
        <v>2</v>
      </c>
      <c r="J68" s="40">
        <f t="shared" si="1"/>
        <v>55</v>
      </c>
      <c r="K68" s="34">
        <f t="shared" si="4"/>
        <v>0.55000000000000004</v>
      </c>
      <c r="L68" s="34">
        <f t="shared" si="5"/>
        <v>0.6</v>
      </c>
      <c r="M68" s="34">
        <f t="shared" si="6"/>
        <v>60</v>
      </c>
      <c r="N68" s="35">
        <v>60</v>
      </c>
      <c r="O68" s="36">
        <f t="shared" si="2"/>
        <v>1.1538461538461537</v>
      </c>
    </row>
    <row r="69" spans="1:15" ht="16.95" customHeight="1">
      <c r="A69" s="25"/>
      <c r="B69" s="26"/>
      <c r="C69" s="62" t="s">
        <v>642</v>
      </c>
      <c r="D69" s="28"/>
      <c r="E69" s="29"/>
      <c r="F69" s="30"/>
      <c r="G69" s="31"/>
      <c r="H69" s="42"/>
      <c r="I69" s="34"/>
      <c r="J69" s="40">
        <f t="shared" si="1"/>
        <v>0</v>
      </c>
      <c r="K69" s="34">
        <f t="shared" si="4"/>
        <v>0</v>
      </c>
      <c r="L69" s="34">
        <f t="shared" si="5"/>
        <v>0</v>
      </c>
      <c r="M69" s="34">
        <f t="shared" si="6"/>
        <v>0</v>
      </c>
      <c r="N69" s="35">
        <v>0</v>
      </c>
      <c r="O69" s="36"/>
    </row>
    <row r="70" spans="1:15" ht="16.95" customHeight="1">
      <c r="A70" s="25">
        <v>43</v>
      </c>
      <c r="B70" s="37" t="s">
        <v>84</v>
      </c>
      <c r="C70" s="38" t="s">
        <v>85</v>
      </c>
      <c r="D70" s="28">
        <v>44</v>
      </c>
      <c r="E70" s="39">
        <f>ROUND(D70*1.043/10,0)*10</f>
        <v>50</v>
      </c>
      <c r="F70" s="41">
        <f t="shared" si="8"/>
        <v>6</v>
      </c>
      <c r="G70" s="31">
        <v>1.0364</v>
      </c>
      <c r="H70" s="34">
        <f t="shared" si="3"/>
        <v>52</v>
      </c>
      <c r="I70" s="34">
        <f t="shared" si="0"/>
        <v>2</v>
      </c>
      <c r="J70" s="40">
        <f t="shared" si="1"/>
        <v>55</v>
      </c>
      <c r="K70" s="34">
        <f t="shared" si="4"/>
        <v>0.55000000000000004</v>
      </c>
      <c r="L70" s="34">
        <f t="shared" si="5"/>
        <v>0.6</v>
      </c>
      <c r="M70" s="34">
        <f t="shared" si="6"/>
        <v>60</v>
      </c>
      <c r="N70" s="35">
        <v>60</v>
      </c>
      <c r="O70" s="36">
        <f t="shared" si="2"/>
        <v>1.1538461538461537</v>
      </c>
    </row>
    <row r="71" spans="1:15" ht="16.95" customHeight="1">
      <c r="A71" s="25">
        <v>44</v>
      </c>
      <c r="B71" s="37" t="s">
        <v>86</v>
      </c>
      <c r="C71" s="38" t="s">
        <v>87</v>
      </c>
      <c r="D71" s="28">
        <v>61</v>
      </c>
      <c r="E71" s="39">
        <v>65</v>
      </c>
      <c r="F71" s="41">
        <f t="shared" si="8"/>
        <v>4</v>
      </c>
      <c r="G71" s="31">
        <v>1.0364</v>
      </c>
      <c r="H71" s="34">
        <f t="shared" si="3"/>
        <v>67</v>
      </c>
      <c r="I71" s="34">
        <f t="shared" si="0"/>
        <v>2</v>
      </c>
      <c r="J71" s="40">
        <f t="shared" si="1"/>
        <v>70</v>
      </c>
      <c r="K71" s="34">
        <f t="shared" si="4"/>
        <v>0.7</v>
      </c>
      <c r="L71" s="34">
        <f t="shared" si="5"/>
        <v>0.7</v>
      </c>
      <c r="M71" s="34">
        <f t="shared" si="6"/>
        <v>70</v>
      </c>
      <c r="N71" s="35">
        <v>100</v>
      </c>
      <c r="O71" s="36">
        <f t="shared" si="2"/>
        <v>1.4925373134328359</v>
      </c>
    </row>
    <row r="72" spans="1:15" ht="31.2" customHeight="1">
      <c r="A72" s="25">
        <v>45</v>
      </c>
      <c r="B72" s="37" t="s">
        <v>88</v>
      </c>
      <c r="C72" s="38" t="s">
        <v>605</v>
      </c>
      <c r="D72" s="28">
        <v>4847</v>
      </c>
      <c r="E72" s="39">
        <f t="shared" si="7"/>
        <v>5060</v>
      </c>
      <c r="F72" s="41">
        <f t="shared" si="8"/>
        <v>213</v>
      </c>
      <c r="G72" s="31">
        <v>1.0364</v>
      </c>
      <c r="H72" s="34">
        <f t="shared" si="3"/>
        <v>5244</v>
      </c>
      <c r="I72" s="34">
        <f t="shared" si="0"/>
        <v>184</v>
      </c>
      <c r="J72" s="40">
        <f t="shared" si="1"/>
        <v>5506</v>
      </c>
      <c r="K72" s="34">
        <f t="shared" si="4"/>
        <v>55.06</v>
      </c>
      <c r="L72" s="34">
        <f t="shared" si="5"/>
        <v>55.1</v>
      </c>
      <c r="M72" s="34">
        <f t="shared" si="6"/>
        <v>5510</v>
      </c>
      <c r="N72" s="35">
        <v>5510</v>
      </c>
      <c r="O72" s="36">
        <f t="shared" si="2"/>
        <v>1.0507246376811594</v>
      </c>
    </row>
    <row r="73" spans="1:15" ht="31.2" customHeight="1">
      <c r="A73" s="25">
        <v>46</v>
      </c>
      <c r="B73" s="37" t="s">
        <v>89</v>
      </c>
      <c r="C73" s="38" t="s">
        <v>606</v>
      </c>
      <c r="D73" s="28">
        <v>4201</v>
      </c>
      <c r="E73" s="39">
        <f t="shared" si="7"/>
        <v>4380</v>
      </c>
      <c r="F73" s="41">
        <f t="shared" si="8"/>
        <v>179</v>
      </c>
      <c r="G73" s="31">
        <v>1.0364</v>
      </c>
      <c r="H73" s="34">
        <f t="shared" si="3"/>
        <v>4539</v>
      </c>
      <c r="I73" s="34">
        <f t="shared" si="0"/>
        <v>159</v>
      </c>
      <c r="J73" s="40">
        <f t="shared" si="1"/>
        <v>4766</v>
      </c>
      <c r="K73" s="34">
        <f t="shared" si="4"/>
        <v>47.66</v>
      </c>
      <c r="L73" s="34">
        <f t="shared" si="5"/>
        <v>47.7</v>
      </c>
      <c r="M73" s="34">
        <f t="shared" si="6"/>
        <v>4770</v>
      </c>
      <c r="N73" s="35">
        <v>4770</v>
      </c>
      <c r="O73" s="36">
        <f t="shared" si="2"/>
        <v>1.0508922670191672</v>
      </c>
    </row>
    <row r="74" spans="1:15" ht="31.2" customHeight="1">
      <c r="A74" s="25">
        <v>47</v>
      </c>
      <c r="B74" s="37" t="s">
        <v>90</v>
      </c>
      <c r="C74" s="38" t="s">
        <v>607</v>
      </c>
      <c r="D74" s="28">
        <v>3599</v>
      </c>
      <c r="E74" s="39">
        <f t="shared" si="7"/>
        <v>3750</v>
      </c>
      <c r="F74" s="41">
        <f t="shared" si="8"/>
        <v>151</v>
      </c>
      <c r="G74" s="31">
        <v>1.0364</v>
      </c>
      <c r="H74" s="34">
        <f t="shared" si="3"/>
        <v>3887</v>
      </c>
      <c r="I74" s="34">
        <f t="shared" si="0"/>
        <v>137</v>
      </c>
      <c r="J74" s="40">
        <f t="shared" si="1"/>
        <v>4081</v>
      </c>
      <c r="K74" s="34">
        <f t="shared" si="4"/>
        <v>40.81</v>
      </c>
      <c r="L74" s="34">
        <f t="shared" si="5"/>
        <v>40.799999999999997</v>
      </c>
      <c r="M74" s="34">
        <f t="shared" si="6"/>
        <v>4079.9999999999995</v>
      </c>
      <c r="N74" s="35">
        <v>4079.9999999999995</v>
      </c>
      <c r="O74" s="36">
        <f t="shared" si="2"/>
        <v>1.049652688448675</v>
      </c>
    </row>
    <row r="75" spans="1:15" ht="31.2" customHeight="1">
      <c r="A75" s="25">
        <v>48</v>
      </c>
      <c r="B75" s="37" t="s">
        <v>91</v>
      </c>
      <c r="C75" s="38" t="s">
        <v>608</v>
      </c>
      <c r="D75" s="28">
        <v>4847</v>
      </c>
      <c r="E75" s="39">
        <f t="shared" si="7"/>
        <v>5060</v>
      </c>
      <c r="F75" s="41">
        <f t="shared" si="8"/>
        <v>213</v>
      </c>
      <c r="G75" s="31">
        <v>1.0364</v>
      </c>
      <c r="H75" s="34">
        <f t="shared" si="3"/>
        <v>5244</v>
      </c>
      <c r="I75" s="34">
        <f t="shared" si="0"/>
        <v>184</v>
      </c>
      <c r="J75" s="40">
        <f t="shared" si="1"/>
        <v>5506</v>
      </c>
      <c r="K75" s="34">
        <f t="shared" si="4"/>
        <v>55.06</v>
      </c>
      <c r="L75" s="34">
        <f t="shared" si="5"/>
        <v>55.1</v>
      </c>
      <c r="M75" s="34">
        <f t="shared" si="6"/>
        <v>5510</v>
      </c>
      <c r="N75" s="35">
        <v>5510</v>
      </c>
      <c r="O75" s="36">
        <f t="shared" si="2"/>
        <v>1.0507246376811594</v>
      </c>
    </row>
    <row r="76" spans="1:15" ht="31.2" customHeight="1">
      <c r="A76" s="25">
        <v>49</v>
      </c>
      <c r="B76" s="37" t="s">
        <v>92</v>
      </c>
      <c r="C76" s="38" t="s">
        <v>609</v>
      </c>
      <c r="D76" s="28">
        <v>4201</v>
      </c>
      <c r="E76" s="39">
        <f t="shared" si="7"/>
        <v>4380</v>
      </c>
      <c r="F76" s="41">
        <f t="shared" si="8"/>
        <v>179</v>
      </c>
      <c r="G76" s="31">
        <v>1.0364</v>
      </c>
      <c r="H76" s="34">
        <f t="shared" si="3"/>
        <v>4539</v>
      </c>
      <c r="I76" s="34">
        <f t="shared" si="0"/>
        <v>159</v>
      </c>
      <c r="J76" s="40">
        <f t="shared" si="1"/>
        <v>4766</v>
      </c>
      <c r="K76" s="34">
        <f t="shared" si="4"/>
        <v>47.66</v>
      </c>
      <c r="L76" s="34">
        <f t="shared" si="5"/>
        <v>47.7</v>
      </c>
      <c r="M76" s="34">
        <f t="shared" si="6"/>
        <v>4770</v>
      </c>
      <c r="N76" s="35">
        <v>4770</v>
      </c>
      <c r="O76" s="36">
        <f t="shared" si="2"/>
        <v>1.0508922670191672</v>
      </c>
    </row>
    <row r="77" spans="1:15" ht="31.2" customHeight="1">
      <c r="A77" s="25">
        <v>50</v>
      </c>
      <c r="B77" s="37" t="s">
        <v>93</v>
      </c>
      <c r="C77" s="38" t="s">
        <v>610</v>
      </c>
      <c r="D77" s="28">
        <v>3599</v>
      </c>
      <c r="E77" s="39">
        <f t="shared" si="7"/>
        <v>3750</v>
      </c>
      <c r="F77" s="41">
        <f t="shared" si="8"/>
        <v>151</v>
      </c>
      <c r="G77" s="31">
        <v>1.0364</v>
      </c>
      <c r="H77" s="34">
        <f t="shared" si="3"/>
        <v>3887</v>
      </c>
      <c r="I77" s="34">
        <f t="shared" si="0"/>
        <v>137</v>
      </c>
      <c r="J77" s="40">
        <f t="shared" si="1"/>
        <v>4081</v>
      </c>
      <c r="K77" s="34">
        <f t="shared" si="4"/>
        <v>40.81</v>
      </c>
      <c r="L77" s="34">
        <f t="shared" si="5"/>
        <v>40.799999999999997</v>
      </c>
      <c r="M77" s="34">
        <f t="shared" si="6"/>
        <v>4079.9999999999995</v>
      </c>
      <c r="N77" s="35">
        <v>4079.9999999999995</v>
      </c>
      <c r="O77" s="36">
        <f t="shared" si="2"/>
        <v>1.049652688448675</v>
      </c>
    </row>
    <row r="78" spans="1:15" ht="31.2" customHeight="1">
      <c r="A78" s="25">
        <v>51</v>
      </c>
      <c r="B78" s="37" t="s">
        <v>94</v>
      </c>
      <c r="C78" s="38" t="s">
        <v>95</v>
      </c>
      <c r="D78" s="28">
        <v>2100</v>
      </c>
      <c r="E78" s="39">
        <f t="shared" si="7"/>
        <v>2190</v>
      </c>
      <c r="F78" s="41">
        <f t="shared" si="8"/>
        <v>90</v>
      </c>
      <c r="G78" s="31">
        <v>1.0364</v>
      </c>
      <c r="H78" s="34">
        <f t="shared" si="3"/>
        <v>2270</v>
      </c>
      <c r="I78" s="34">
        <f t="shared" si="0"/>
        <v>80</v>
      </c>
      <c r="J78" s="40">
        <f t="shared" si="1"/>
        <v>2384</v>
      </c>
      <c r="K78" s="34">
        <f t="shared" si="4"/>
        <v>23.84</v>
      </c>
      <c r="L78" s="34">
        <f t="shared" si="5"/>
        <v>23.8</v>
      </c>
      <c r="M78" s="34">
        <f t="shared" si="6"/>
        <v>2380</v>
      </c>
      <c r="N78" s="35">
        <v>2380</v>
      </c>
      <c r="O78" s="36">
        <f t="shared" si="2"/>
        <v>1.0484581497797356</v>
      </c>
    </row>
    <row r="79" spans="1:15" ht="31.2" customHeight="1">
      <c r="A79" s="25">
        <v>52</v>
      </c>
      <c r="B79" s="37" t="s">
        <v>96</v>
      </c>
      <c r="C79" s="38" t="s">
        <v>97</v>
      </c>
      <c r="D79" s="28">
        <v>2996</v>
      </c>
      <c r="E79" s="39">
        <f t="shared" si="7"/>
        <v>3120</v>
      </c>
      <c r="F79" s="41">
        <f t="shared" si="8"/>
        <v>124</v>
      </c>
      <c r="G79" s="31">
        <v>1.0364</v>
      </c>
      <c r="H79" s="34">
        <f t="shared" si="3"/>
        <v>3234</v>
      </c>
      <c r="I79" s="34">
        <f t="shared" si="0"/>
        <v>114</v>
      </c>
      <c r="J79" s="40">
        <f t="shared" si="1"/>
        <v>3396</v>
      </c>
      <c r="K79" s="34">
        <f t="shared" si="4"/>
        <v>33.96</v>
      </c>
      <c r="L79" s="34">
        <f t="shared" si="5"/>
        <v>34</v>
      </c>
      <c r="M79" s="34">
        <f t="shared" si="6"/>
        <v>3400</v>
      </c>
      <c r="N79" s="35">
        <v>3400</v>
      </c>
      <c r="O79" s="36">
        <f t="shared" si="2"/>
        <v>1.0513296227581941</v>
      </c>
    </row>
    <row r="80" spans="1:15" ht="31.2" customHeight="1">
      <c r="A80" s="25">
        <v>53</v>
      </c>
      <c r="B80" s="37" t="s">
        <v>98</v>
      </c>
      <c r="C80" s="38" t="s">
        <v>596</v>
      </c>
      <c r="D80" s="28">
        <v>1645</v>
      </c>
      <c r="E80" s="39">
        <f t="shared" si="7"/>
        <v>1720</v>
      </c>
      <c r="F80" s="41">
        <f t="shared" si="8"/>
        <v>75</v>
      </c>
      <c r="G80" s="31">
        <v>1.0364</v>
      </c>
      <c r="H80" s="34">
        <f t="shared" si="3"/>
        <v>1783</v>
      </c>
      <c r="I80" s="34">
        <f t="shared" si="0"/>
        <v>63</v>
      </c>
      <c r="J80" s="40">
        <f t="shared" si="1"/>
        <v>1872</v>
      </c>
      <c r="K80" s="34">
        <f t="shared" si="4"/>
        <v>18.72</v>
      </c>
      <c r="L80" s="34">
        <f t="shared" si="5"/>
        <v>18.7</v>
      </c>
      <c r="M80" s="34">
        <f t="shared" si="6"/>
        <v>1870</v>
      </c>
      <c r="N80" s="35">
        <v>1870</v>
      </c>
      <c r="O80" s="36">
        <f t="shared" si="2"/>
        <v>1.0487941671340437</v>
      </c>
    </row>
    <row r="81" spans="1:15" ht="16.95" customHeight="1">
      <c r="A81" s="25">
        <v>54</v>
      </c>
      <c r="B81" s="37" t="s">
        <v>99</v>
      </c>
      <c r="C81" s="38" t="s">
        <v>100</v>
      </c>
      <c r="D81" s="28">
        <v>979</v>
      </c>
      <c r="E81" s="39">
        <f t="shared" si="7"/>
        <v>1020</v>
      </c>
      <c r="F81" s="41">
        <f t="shared" si="8"/>
        <v>41</v>
      </c>
      <c r="G81" s="31">
        <v>1.0364</v>
      </c>
      <c r="H81" s="34">
        <f t="shared" si="3"/>
        <v>1057</v>
      </c>
      <c r="I81" s="34">
        <f t="shared" si="0"/>
        <v>37</v>
      </c>
      <c r="J81" s="40">
        <f t="shared" si="1"/>
        <v>1110</v>
      </c>
      <c r="K81" s="34">
        <f t="shared" si="4"/>
        <v>11.1</v>
      </c>
      <c r="L81" s="34">
        <f t="shared" si="5"/>
        <v>11.1</v>
      </c>
      <c r="M81" s="34">
        <f t="shared" si="6"/>
        <v>1110</v>
      </c>
      <c r="N81" s="35">
        <v>1110</v>
      </c>
      <c r="O81" s="36">
        <f t="shared" si="2"/>
        <v>1.0501419110690633</v>
      </c>
    </row>
    <row r="82" spans="1:15" ht="16.95" customHeight="1">
      <c r="A82" s="25">
        <v>55</v>
      </c>
      <c r="B82" s="37" t="s">
        <v>101</v>
      </c>
      <c r="C82" s="38" t="s">
        <v>102</v>
      </c>
      <c r="D82" s="28">
        <v>294</v>
      </c>
      <c r="E82" s="39">
        <f t="shared" si="7"/>
        <v>310</v>
      </c>
      <c r="F82" s="41">
        <f t="shared" si="8"/>
        <v>16</v>
      </c>
      <c r="G82" s="31">
        <v>1.0364</v>
      </c>
      <c r="H82" s="34">
        <f t="shared" si="3"/>
        <v>321</v>
      </c>
      <c r="I82" s="34">
        <f t="shared" si="0"/>
        <v>11</v>
      </c>
      <c r="J82" s="40">
        <f t="shared" si="1"/>
        <v>337</v>
      </c>
      <c r="K82" s="34">
        <f t="shared" si="4"/>
        <v>3.37</v>
      </c>
      <c r="L82" s="34">
        <f t="shared" si="5"/>
        <v>3.4</v>
      </c>
      <c r="M82" s="34">
        <f t="shared" si="6"/>
        <v>340</v>
      </c>
      <c r="N82" s="35">
        <v>340</v>
      </c>
      <c r="O82" s="36">
        <f t="shared" si="2"/>
        <v>1.0591900311526479</v>
      </c>
    </row>
    <row r="83" spans="1:15" ht="16.95" customHeight="1">
      <c r="A83" s="25">
        <v>56</v>
      </c>
      <c r="B83" s="37" t="s">
        <v>103</v>
      </c>
      <c r="C83" s="38" t="s">
        <v>104</v>
      </c>
      <c r="D83" s="28">
        <v>294</v>
      </c>
      <c r="E83" s="39">
        <f t="shared" si="7"/>
        <v>310</v>
      </c>
      <c r="F83" s="41">
        <f t="shared" si="8"/>
        <v>16</v>
      </c>
      <c r="G83" s="31">
        <v>1.0364</v>
      </c>
      <c r="H83" s="34">
        <f t="shared" si="3"/>
        <v>321</v>
      </c>
      <c r="I83" s="34">
        <f t="shared" si="0"/>
        <v>11</v>
      </c>
      <c r="J83" s="40">
        <f t="shared" si="1"/>
        <v>337</v>
      </c>
      <c r="K83" s="34">
        <f t="shared" si="4"/>
        <v>3.37</v>
      </c>
      <c r="L83" s="34">
        <f t="shared" si="5"/>
        <v>3.4</v>
      </c>
      <c r="M83" s="34">
        <f t="shared" si="6"/>
        <v>340</v>
      </c>
      <c r="N83" s="35">
        <v>340</v>
      </c>
      <c r="O83" s="36">
        <f t="shared" si="2"/>
        <v>1.0591900311526479</v>
      </c>
    </row>
    <row r="84" spans="1:15" ht="16.95" customHeight="1">
      <c r="A84" s="25">
        <v>57</v>
      </c>
      <c r="B84" s="37" t="s">
        <v>105</v>
      </c>
      <c r="C84" s="38" t="s">
        <v>106</v>
      </c>
      <c r="D84" s="28">
        <v>294</v>
      </c>
      <c r="E84" s="39">
        <f t="shared" si="7"/>
        <v>310</v>
      </c>
      <c r="F84" s="41">
        <f t="shared" si="8"/>
        <v>16</v>
      </c>
      <c r="G84" s="31">
        <v>1.0364</v>
      </c>
      <c r="H84" s="34">
        <f t="shared" si="3"/>
        <v>321</v>
      </c>
      <c r="I84" s="34">
        <f t="shared" si="0"/>
        <v>11</v>
      </c>
      <c r="J84" s="40">
        <f t="shared" si="1"/>
        <v>337</v>
      </c>
      <c r="K84" s="34">
        <f t="shared" si="4"/>
        <v>3.37</v>
      </c>
      <c r="L84" s="34">
        <f t="shared" si="5"/>
        <v>3.4</v>
      </c>
      <c r="M84" s="34">
        <f t="shared" si="6"/>
        <v>340</v>
      </c>
      <c r="N84" s="35">
        <v>340</v>
      </c>
      <c r="O84" s="36">
        <f t="shared" si="2"/>
        <v>1.0591900311526479</v>
      </c>
    </row>
    <row r="85" spans="1:15" ht="16.95" customHeight="1">
      <c r="A85" s="25">
        <v>58</v>
      </c>
      <c r="B85" s="37" t="s">
        <v>107</v>
      </c>
      <c r="C85" s="38" t="s">
        <v>108</v>
      </c>
      <c r="D85" s="28">
        <v>1204</v>
      </c>
      <c r="E85" s="39">
        <f t="shared" si="7"/>
        <v>1260</v>
      </c>
      <c r="F85" s="41">
        <f t="shared" si="8"/>
        <v>56</v>
      </c>
      <c r="G85" s="31">
        <v>1.0364</v>
      </c>
      <c r="H85" s="34">
        <f t="shared" si="3"/>
        <v>1306</v>
      </c>
      <c r="I85" s="34">
        <f t="shared" si="0"/>
        <v>46</v>
      </c>
      <c r="J85" s="40">
        <f t="shared" si="1"/>
        <v>1371</v>
      </c>
      <c r="K85" s="34">
        <f t="shared" si="4"/>
        <v>13.71</v>
      </c>
      <c r="L85" s="34">
        <f t="shared" si="5"/>
        <v>13.7</v>
      </c>
      <c r="M85" s="34">
        <f t="shared" si="6"/>
        <v>1370</v>
      </c>
      <c r="N85" s="35">
        <v>1370</v>
      </c>
      <c r="O85" s="36">
        <f t="shared" si="2"/>
        <v>1.0490045941807045</v>
      </c>
    </row>
    <row r="86" spans="1:15" ht="16.95" customHeight="1">
      <c r="A86" s="25">
        <v>59</v>
      </c>
      <c r="B86" s="37" t="s">
        <v>109</v>
      </c>
      <c r="C86" s="38" t="s">
        <v>110</v>
      </c>
      <c r="D86" s="28">
        <v>73</v>
      </c>
      <c r="E86" s="39">
        <f t="shared" si="7"/>
        <v>80</v>
      </c>
      <c r="F86" s="41">
        <f t="shared" si="8"/>
        <v>7</v>
      </c>
      <c r="G86" s="31">
        <v>1.0364</v>
      </c>
      <c r="H86" s="34">
        <f t="shared" si="3"/>
        <v>83</v>
      </c>
      <c r="I86" s="34">
        <f t="shared" si="0"/>
        <v>3</v>
      </c>
      <c r="J86" s="40">
        <f t="shared" si="1"/>
        <v>87</v>
      </c>
      <c r="K86" s="34">
        <f t="shared" si="4"/>
        <v>0.87</v>
      </c>
      <c r="L86" s="34">
        <f t="shared" si="5"/>
        <v>0.9</v>
      </c>
      <c r="M86" s="34">
        <f t="shared" si="6"/>
        <v>90</v>
      </c>
      <c r="N86" s="35">
        <v>90</v>
      </c>
      <c r="O86" s="36">
        <f t="shared" si="2"/>
        <v>1.0843373493975903</v>
      </c>
    </row>
    <row r="87" spans="1:15" ht="16.95" customHeight="1">
      <c r="A87" s="25">
        <v>60</v>
      </c>
      <c r="B87" s="37" t="s">
        <v>111</v>
      </c>
      <c r="C87" s="38" t="s">
        <v>112</v>
      </c>
      <c r="D87" s="28">
        <v>147</v>
      </c>
      <c r="E87" s="39">
        <f t="shared" si="7"/>
        <v>150</v>
      </c>
      <c r="F87" s="41">
        <f t="shared" si="8"/>
        <v>3</v>
      </c>
      <c r="G87" s="31">
        <v>1.0364</v>
      </c>
      <c r="H87" s="34">
        <f t="shared" si="3"/>
        <v>155</v>
      </c>
      <c r="I87" s="34">
        <f t="shared" si="0"/>
        <v>5</v>
      </c>
      <c r="J87" s="40">
        <f t="shared" si="1"/>
        <v>163</v>
      </c>
      <c r="K87" s="34">
        <f t="shared" si="4"/>
        <v>1.63</v>
      </c>
      <c r="L87" s="34">
        <f t="shared" si="5"/>
        <v>1.6</v>
      </c>
      <c r="M87" s="34">
        <f t="shared" si="6"/>
        <v>160</v>
      </c>
      <c r="N87" s="35">
        <v>160</v>
      </c>
      <c r="O87" s="36">
        <f t="shared" si="2"/>
        <v>1.032258064516129</v>
      </c>
    </row>
    <row r="88" spans="1:15" ht="16.95" customHeight="1">
      <c r="A88" s="25">
        <v>61</v>
      </c>
      <c r="B88" s="37" t="s">
        <v>113</v>
      </c>
      <c r="C88" s="38" t="s">
        <v>114</v>
      </c>
      <c r="D88" s="28">
        <v>602</v>
      </c>
      <c r="E88" s="39">
        <f t="shared" si="7"/>
        <v>630</v>
      </c>
      <c r="F88" s="41">
        <f t="shared" si="8"/>
        <v>28</v>
      </c>
      <c r="G88" s="31">
        <v>1.0364</v>
      </c>
      <c r="H88" s="34">
        <f t="shared" si="3"/>
        <v>653</v>
      </c>
      <c r="I88" s="34">
        <f t="shared" si="0"/>
        <v>23</v>
      </c>
      <c r="J88" s="40">
        <f t="shared" si="1"/>
        <v>686</v>
      </c>
      <c r="K88" s="34">
        <f t="shared" si="4"/>
        <v>6.86</v>
      </c>
      <c r="L88" s="34">
        <f t="shared" si="5"/>
        <v>6.9</v>
      </c>
      <c r="M88" s="34">
        <f t="shared" si="6"/>
        <v>690</v>
      </c>
      <c r="N88" s="35">
        <v>690</v>
      </c>
      <c r="O88" s="36">
        <f t="shared" si="2"/>
        <v>1.0566615620214395</v>
      </c>
    </row>
    <row r="89" spans="1:15" ht="16.95" customHeight="1">
      <c r="A89" s="25">
        <v>62</v>
      </c>
      <c r="B89" s="37" t="s">
        <v>115</v>
      </c>
      <c r="C89" s="38" t="s">
        <v>116</v>
      </c>
      <c r="D89" s="28">
        <v>602</v>
      </c>
      <c r="E89" s="39">
        <f t="shared" si="7"/>
        <v>630</v>
      </c>
      <c r="F89" s="41">
        <f t="shared" si="8"/>
        <v>28</v>
      </c>
      <c r="G89" s="31">
        <v>1.0364</v>
      </c>
      <c r="H89" s="34">
        <f t="shared" si="3"/>
        <v>653</v>
      </c>
      <c r="I89" s="34">
        <f t="shared" si="0"/>
        <v>23</v>
      </c>
      <c r="J89" s="40">
        <f t="shared" si="1"/>
        <v>686</v>
      </c>
      <c r="K89" s="34">
        <f t="shared" si="4"/>
        <v>6.86</v>
      </c>
      <c r="L89" s="34">
        <f t="shared" si="5"/>
        <v>6.9</v>
      </c>
      <c r="M89" s="34">
        <f t="shared" si="6"/>
        <v>690</v>
      </c>
      <c r="N89" s="35">
        <v>690</v>
      </c>
      <c r="O89" s="36">
        <f t="shared" si="2"/>
        <v>1.0566615620214395</v>
      </c>
    </row>
    <row r="90" spans="1:15" ht="16.95" customHeight="1">
      <c r="A90" s="25">
        <v>63</v>
      </c>
      <c r="B90" s="37" t="s">
        <v>117</v>
      </c>
      <c r="C90" s="38" t="s">
        <v>118</v>
      </c>
      <c r="D90" s="28">
        <v>73</v>
      </c>
      <c r="E90" s="39">
        <f t="shared" si="7"/>
        <v>80</v>
      </c>
      <c r="F90" s="41">
        <f t="shared" si="8"/>
        <v>7</v>
      </c>
      <c r="G90" s="31">
        <v>1.0364</v>
      </c>
      <c r="H90" s="34">
        <f t="shared" si="3"/>
        <v>83</v>
      </c>
      <c r="I90" s="34">
        <f t="shared" si="0"/>
        <v>3</v>
      </c>
      <c r="J90" s="40">
        <f t="shared" si="1"/>
        <v>87</v>
      </c>
      <c r="K90" s="34">
        <f t="shared" si="4"/>
        <v>0.87</v>
      </c>
      <c r="L90" s="34">
        <f t="shared" si="5"/>
        <v>0.9</v>
      </c>
      <c r="M90" s="34">
        <f t="shared" si="6"/>
        <v>90</v>
      </c>
      <c r="N90" s="35">
        <v>90</v>
      </c>
      <c r="O90" s="36">
        <f t="shared" si="2"/>
        <v>1.0843373493975903</v>
      </c>
    </row>
    <row r="91" spans="1:15" ht="16.95" customHeight="1">
      <c r="A91" s="25">
        <v>64</v>
      </c>
      <c r="B91" s="37" t="s">
        <v>119</v>
      </c>
      <c r="C91" s="38" t="s">
        <v>120</v>
      </c>
      <c r="D91" s="28">
        <v>602</v>
      </c>
      <c r="E91" s="39">
        <f t="shared" si="7"/>
        <v>630</v>
      </c>
      <c r="F91" s="41">
        <f t="shared" si="8"/>
        <v>28</v>
      </c>
      <c r="G91" s="31">
        <v>1.0364</v>
      </c>
      <c r="H91" s="34">
        <f t="shared" si="3"/>
        <v>653</v>
      </c>
      <c r="I91" s="34">
        <f t="shared" ref="I91:I154" si="9">H91-E91</f>
        <v>23</v>
      </c>
      <c r="J91" s="40">
        <f t="shared" ref="J91:J154" si="10">ROUND(H91*1.05, 0)</f>
        <v>686</v>
      </c>
      <c r="K91" s="34">
        <f t="shared" si="4"/>
        <v>6.86</v>
      </c>
      <c r="L91" s="34">
        <f t="shared" si="5"/>
        <v>6.9</v>
      </c>
      <c r="M91" s="34">
        <f t="shared" si="6"/>
        <v>690</v>
      </c>
      <c r="N91" s="35">
        <v>690</v>
      </c>
      <c r="O91" s="36">
        <f t="shared" ref="O91:O154" si="11">N91/H91</f>
        <v>1.0566615620214395</v>
      </c>
    </row>
    <row r="92" spans="1:15" ht="16.95" customHeight="1">
      <c r="A92" s="25">
        <v>65</v>
      </c>
      <c r="B92" s="37" t="s">
        <v>121</v>
      </c>
      <c r="C92" s="38" t="s">
        <v>122</v>
      </c>
      <c r="D92" s="28">
        <v>294</v>
      </c>
      <c r="E92" s="39">
        <f t="shared" si="7"/>
        <v>310</v>
      </c>
      <c r="F92" s="41">
        <f t="shared" si="8"/>
        <v>16</v>
      </c>
      <c r="G92" s="31">
        <v>1.0364</v>
      </c>
      <c r="H92" s="34">
        <f t="shared" ref="H92:H155" si="12">ROUND(E92*G92, 0)</f>
        <v>321</v>
      </c>
      <c r="I92" s="34">
        <f t="shared" si="9"/>
        <v>11</v>
      </c>
      <c r="J92" s="40">
        <f t="shared" si="10"/>
        <v>337</v>
      </c>
      <c r="K92" s="34">
        <f t="shared" ref="K92:K155" si="13">J92/100</f>
        <v>3.37</v>
      </c>
      <c r="L92" s="34">
        <f t="shared" ref="L92:L155" si="14">ROUND(K92,1)</f>
        <v>3.4</v>
      </c>
      <c r="M92" s="34">
        <f t="shared" ref="M92:M155" si="15">L92*100</f>
        <v>340</v>
      </c>
      <c r="N92" s="35">
        <v>340</v>
      </c>
      <c r="O92" s="36">
        <f t="shared" si="11"/>
        <v>1.0591900311526479</v>
      </c>
    </row>
    <row r="93" spans="1:15" ht="16.95" customHeight="1">
      <c r="A93" s="25">
        <v>66</v>
      </c>
      <c r="B93" s="37" t="s">
        <v>123</v>
      </c>
      <c r="C93" s="38" t="s">
        <v>124</v>
      </c>
      <c r="D93" s="28">
        <v>122</v>
      </c>
      <c r="E93" s="39">
        <f t="shared" si="7"/>
        <v>130</v>
      </c>
      <c r="F93" s="41">
        <f t="shared" si="8"/>
        <v>8</v>
      </c>
      <c r="G93" s="31">
        <v>1.0364</v>
      </c>
      <c r="H93" s="34">
        <f t="shared" si="12"/>
        <v>135</v>
      </c>
      <c r="I93" s="34">
        <f t="shared" si="9"/>
        <v>5</v>
      </c>
      <c r="J93" s="40">
        <f t="shared" si="10"/>
        <v>142</v>
      </c>
      <c r="K93" s="34">
        <f t="shared" si="13"/>
        <v>1.42</v>
      </c>
      <c r="L93" s="34">
        <f t="shared" si="14"/>
        <v>1.4</v>
      </c>
      <c r="M93" s="34">
        <f t="shared" si="15"/>
        <v>140</v>
      </c>
      <c r="N93" s="35">
        <v>140</v>
      </c>
      <c r="O93" s="36">
        <f t="shared" si="11"/>
        <v>1.037037037037037</v>
      </c>
    </row>
    <row r="94" spans="1:15" ht="16.95" customHeight="1">
      <c r="A94" s="25">
        <v>67</v>
      </c>
      <c r="B94" s="37" t="s">
        <v>125</v>
      </c>
      <c r="C94" s="38" t="s">
        <v>126</v>
      </c>
      <c r="D94" s="28">
        <v>122</v>
      </c>
      <c r="E94" s="39">
        <f t="shared" si="7"/>
        <v>130</v>
      </c>
      <c r="F94" s="41">
        <f t="shared" si="8"/>
        <v>8</v>
      </c>
      <c r="G94" s="31">
        <v>1.0364</v>
      </c>
      <c r="H94" s="34">
        <f t="shared" si="12"/>
        <v>135</v>
      </c>
      <c r="I94" s="34">
        <f t="shared" si="9"/>
        <v>5</v>
      </c>
      <c r="J94" s="40">
        <f t="shared" si="10"/>
        <v>142</v>
      </c>
      <c r="K94" s="34">
        <f t="shared" si="13"/>
        <v>1.42</v>
      </c>
      <c r="L94" s="34">
        <f t="shared" si="14"/>
        <v>1.4</v>
      </c>
      <c r="M94" s="34">
        <f t="shared" si="15"/>
        <v>140</v>
      </c>
      <c r="N94" s="35">
        <v>140</v>
      </c>
      <c r="O94" s="36">
        <f t="shared" si="11"/>
        <v>1.037037037037037</v>
      </c>
    </row>
    <row r="95" spans="1:15" ht="16.95" customHeight="1">
      <c r="A95" s="25">
        <v>68</v>
      </c>
      <c r="B95" s="37" t="s">
        <v>127</v>
      </c>
      <c r="C95" s="38" t="s">
        <v>128</v>
      </c>
      <c r="D95" s="28">
        <v>122</v>
      </c>
      <c r="E95" s="39">
        <f t="shared" si="7"/>
        <v>130</v>
      </c>
      <c r="F95" s="41">
        <f t="shared" si="8"/>
        <v>8</v>
      </c>
      <c r="G95" s="31">
        <v>1.0364</v>
      </c>
      <c r="H95" s="34">
        <f t="shared" si="12"/>
        <v>135</v>
      </c>
      <c r="I95" s="34">
        <f t="shared" si="9"/>
        <v>5</v>
      </c>
      <c r="J95" s="40">
        <f t="shared" si="10"/>
        <v>142</v>
      </c>
      <c r="K95" s="34">
        <f t="shared" si="13"/>
        <v>1.42</v>
      </c>
      <c r="L95" s="34">
        <f t="shared" si="14"/>
        <v>1.4</v>
      </c>
      <c r="M95" s="34">
        <f t="shared" si="15"/>
        <v>140</v>
      </c>
      <c r="N95" s="35">
        <v>140</v>
      </c>
      <c r="O95" s="36">
        <f t="shared" si="11"/>
        <v>1.037037037037037</v>
      </c>
    </row>
    <row r="96" spans="1:15" ht="16.95" customHeight="1">
      <c r="A96" s="25">
        <v>69</v>
      </c>
      <c r="B96" s="37" t="s">
        <v>129</v>
      </c>
      <c r="C96" s="38" t="s">
        <v>130</v>
      </c>
      <c r="D96" s="28">
        <v>122</v>
      </c>
      <c r="E96" s="39">
        <f t="shared" si="7"/>
        <v>130</v>
      </c>
      <c r="F96" s="41">
        <f t="shared" si="8"/>
        <v>8</v>
      </c>
      <c r="G96" s="31">
        <v>1.0364</v>
      </c>
      <c r="H96" s="34">
        <f t="shared" si="12"/>
        <v>135</v>
      </c>
      <c r="I96" s="34">
        <f t="shared" si="9"/>
        <v>5</v>
      </c>
      <c r="J96" s="40">
        <f t="shared" si="10"/>
        <v>142</v>
      </c>
      <c r="K96" s="34">
        <f t="shared" si="13"/>
        <v>1.42</v>
      </c>
      <c r="L96" s="34">
        <f t="shared" si="14"/>
        <v>1.4</v>
      </c>
      <c r="M96" s="34">
        <f t="shared" si="15"/>
        <v>140</v>
      </c>
      <c r="N96" s="35">
        <v>140</v>
      </c>
      <c r="O96" s="36">
        <f t="shared" si="11"/>
        <v>1.037037037037037</v>
      </c>
    </row>
    <row r="97" spans="1:15" ht="16.95" customHeight="1">
      <c r="A97" s="25">
        <v>70</v>
      </c>
      <c r="B97" s="37" t="s">
        <v>131</v>
      </c>
      <c r="C97" s="38" t="s">
        <v>132</v>
      </c>
      <c r="D97" s="28">
        <v>73</v>
      </c>
      <c r="E97" s="39">
        <f t="shared" si="7"/>
        <v>80</v>
      </c>
      <c r="F97" s="41">
        <f t="shared" si="8"/>
        <v>7</v>
      </c>
      <c r="G97" s="31">
        <v>1.0364</v>
      </c>
      <c r="H97" s="34">
        <f t="shared" si="12"/>
        <v>83</v>
      </c>
      <c r="I97" s="34">
        <f t="shared" si="9"/>
        <v>3</v>
      </c>
      <c r="J97" s="40">
        <f t="shared" si="10"/>
        <v>87</v>
      </c>
      <c r="K97" s="34">
        <f t="shared" si="13"/>
        <v>0.87</v>
      </c>
      <c r="L97" s="34">
        <f t="shared" si="14"/>
        <v>0.9</v>
      </c>
      <c r="M97" s="34">
        <f t="shared" si="15"/>
        <v>90</v>
      </c>
      <c r="N97" s="35">
        <v>90</v>
      </c>
      <c r="O97" s="36">
        <f t="shared" si="11"/>
        <v>1.0843373493975903</v>
      </c>
    </row>
    <row r="98" spans="1:15" ht="16.95" customHeight="1">
      <c r="A98" s="25">
        <v>71</v>
      </c>
      <c r="B98" s="37" t="s">
        <v>133</v>
      </c>
      <c r="C98" s="38" t="s">
        <v>134</v>
      </c>
      <c r="D98" s="28">
        <v>147</v>
      </c>
      <c r="E98" s="39">
        <f t="shared" si="7"/>
        <v>150</v>
      </c>
      <c r="F98" s="41">
        <f t="shared" si="8"/>
        <v>3</v>
      </c>
      <c r="G98" s="31">
        <v>1.0364</v>
      </c>
      <c r="H98" s="34">
        <f t="shared" si="12"/>
        <v>155</v>
      </c>
      <c r="I98" s="34">
        <f t="shared" si="9"/>
        <v>5</v>
      </c>
      <c r="J98" s="40">
        <f t="shared" si="10"/>
        <v>163</v>
      </c>
      <c r="K98" s="34">
        <f t="shared" si="13"/>
        <v>1.63</v>
      </c>
      <c r="L98" s="34">
        <f t="shared" si="14"/>
        <v>1.6</v>
      </c>
      <c r="M98" s="34">
        <f t="shared" si="15"/>
        <v>160</v>
      </c>
      <c r="N98" s="35">
        <v>160</v>
      </c>
      <c r="O98" s="36">
        <f t="shared" si="11"/>
        <v>1.032258064516129</v>
      </c>
    </row>
    <row r="99" spans="1:15" ht="16.95" customHeight="1">
      <c r="A99" s="25">
        <v>72</v>
      </c>
      <c r="B99" s="37" t="s">
        <v>135</v>
      </c>
      <c r="C99" s="38" t="s">
        <v>136</v>
      </c>
      <c r="D99" s="28">
        <v>147</v>
      </c>
      <c r="E99" s="39">
        <f t="shared" si="7"/>
        <v>150</v>
      </c>
      <c r="F99" s="41">
        <f t="shared" si="8"/>
        <v>3</v>
      </c>
      <c r="G99" s="31">
        <v>1.0364</v>
      </c>
      <c r="H99" s="34">
        <f t="shared" si="12"/>
        <v>155</v>
      </c>
      <c r="I99" s="34">
        <f t="shared" si="9"/>
        <v>5</v>
      </c>
      <c r="J99" s="40">
        <f t="shared" si="10"/>
        <v>163</v>
      </c>
      <c r="K99" s="34">
        <f t="shared" si="13"/>
        <v>1.63</v>
      </c>
      <c r="L99" s="34">
        <f t="shared" si="14"/>
        <v>1.6</v>
      </c>
      <c r="M99" s="34">
        <f t="shared" si="15"/>
        <v>160</v>
      </c>
      <c r="N99" s="35">
        <v>160</v>
      </c>
      <c r="O99" s="36">
        <f t="shared" si="11"/>
        <v>1.032258064516129</v>
      </c>
    </row>
    <row r="100" spans="1:15" ht="16.95" customHeight="1">
      <c r="A100" s="25">
        <v>73</v>
      </c>
      <c r="B100" s="37" t="s">
        <v>137</v>
      </c>
      <c r="C100" s="38" t="s">
        <v>138</v>
      </c>
      <c r="D100" s="28">
        <v>235</v>
      </c>
      <c r="E100" s="39">
        <f t="shared" ref="E100:E163" si="16">ROUND(D100*1.043/10,0)*10</f>
        <v>250</v>
      </c>
      <c r="F100" s="41">
        <f t="shared" ref="F100:F163" si="17">E100-D100</f>
        <v>15</v>
      </c>
      <c r="G100" s="31">
        <v>1.0364</v>
      </c>
      <c r="H100" s="34">
        <f t="shared" si="12"/>
        <v>259</v>
      </c>
      <c r="I100" s="34">
        <f t="shared" si="9"/>
        <v>9</v>
      </c>
      <c r="J100" s="40">
        <f t="shared" si="10"/>
        <v>272</v>
      </c>
      <c r="K100" s="34">
        <f t="shared" si="13"/>
        <v>2.72</v>
      </c>
      <c r="L100" s="34">
        <f t="shared" si="14"/>
        <v>2.7</v>
      </c>
      <c r="M100" s="34">
        <f t="shared" si="15"/>
        <v>270</v>
      </c>
      <c r="N100" s="35">
        <v>270</v>
      </c>
      <c r="O100" s="36">
        <f t="shared" si="11"/>
        <v>1.0424710424710424</v>
      </c>
    </row>
    <row r="101" spans="1:15" ht="16.95" customHeight="1">
      <c r="A101" s="25">
        <v>74</v>
      </c>
      <c r="B101" s="37" t="s">
        <v>139</v>
      </c>
      <c r="C101" s="38" t="s">
        <v>140</v>
      </c>
      <c r="D101" s="28">
        <v>44</v>
      </c>
      <c r="E101" s="39">
        <f t="shared" si="16"/>
        <v>50</v>
      </c>
      <c r="F101" s="41">
        <f t="shared" si="17"/>
        <v>6</v>
      </c>
      <c r="G101" s="31">
        <v>1.0364</v>
      </c>
      <c r="H101" s="34">
        <f t="shared" si="12"/>
        <v>52</v>
      </c>
      <c r="I101" s="34">
        <f t="shared" si="9"/>
        <v>2</v>
      </c>
      <c r="J101" s="40">
        <f t="shared" si="10"/>
        <v>55</v>
      </c>
      <c r="K101" s="34">
        <f t="shared" si="13"/>
        <v>0.55000000000000004</v>
      </c>
      <c r="L101" s="34">
        <f t="shared" si="14"/>
        <v>0.6</v>
      </c>
      <c r="M101" s="34">
        <f t="shared" si="15"/>
        <v>60</v>
      </c>
      <c r="N101" s="35">
        <v>60</v>
      </c>
      <c r="O101" s="36">
        <f t="shared" si="11"/>
        <v>1.1538461538461537</v>
      </c>
    </row>
    <row r="102" spans="1:15" ht="16.95" customHeight="1">
      <c r="A102" s="25">
        <v>75</v>
      </c>
      <c r="B102" s="37" t="s">
        <v>141</v>
      </c>
      <c r="C102" s="38" t="s">
        <v>142</v>
      </c>
      <c r="D102" s="28">
        <v>294</v>
      </c>
      <c r="E102" s="39">
        <f t="shared" si="16"/>
        <v>310</v>
      </c>
      <c r="F102" s="41">
        <f t="shared" si="17"/>
        <v>16</v>
      </c>
      <c r="G102" s="31">
        <v>1.0364</v>
      </c>
      <c r="H102" s="34">
        <f t="shared" si="12"/>
        <v>321</v>
      </c>
      <c r="I102" s="34">
        <f t="shared" si="9"/>
        <v>11</v>
      </c>
      <c r="J102" s="40">
        <f t="shared" si="10"/>
        <v>337</v>
      </c>
      <c r="K102" s="34">
        <f t="shared" si="13"/>
        <v>3.37</v>
      </c>
      <c r="L102" s="34">
        <f t="shared" si="14"/>
        <v>3.4</v>
      </c>
      <c r="M102" s="34">
        <f t="shared" si="15"/>
        <v>340</v>
      </c>
      <c r="N102" s="35">
        <v>340</v>
      </c>
      <c r="O102" s="36">
        <f t="shared" si="11"/>
        <v>1.0591900311526479</v>
      </c>
    </row>
    <row r="103" spans="1:15" ht="31.2" customHeight="1">
      <c r="A103" s="25">
        <v>76</v>
      </c>
      <c r="B103" s="37" t="s">
        <v>143</v>
      </c>
      <c r="C103" s="38" t="s">
        <v>611</v>
      </c>
      <c r="D103" s="28">
        <v>896</v>
      </c>
      <c r="E103" s="39">
        <f t="shared" si="16"/>
        <v>930</v>
      </c>
      <c r="F103" s="41">
        <f t="shared" si="17"/>
        <v>34</v>
      </c>
      <c r="G103" s="31">
        <v>1.0364</v>
      </c>
      <c r="H103" s="34">
        <f t="shared" si="12"/>
        <v>964</v>
      </c>
      <c r="I103" s="34">
        <f t="shared" si="9"/>
        <v>34</v>
      </c>
      <c r="J103" s="40">
        <f t="shared" si="10"/>
        <v>1012</v>
      </c>
      <c r="K103" s="34">
        <f t="shared" si="13"/>
        <v>10.119999999999999</v>
      </c>
      <c r="L103" s="34">
        <f t="shared" si="14"/>
        <v>10.1</v>
      </c>
      <c r="M103" s="34">
        <f t="shared" si="15"/>
        <v>1010</v>
      </c>
      <c r="N103" s="35">
        <v>1010</v>
      </c>
      <c r="O103" s="36">
        <f t="shared" si="11"/>
        <v>1.0477178423236515</v>
      </c>
    </row>
    <row r="104" spans="1:15" ht="31.2" customHeight="1">
      <c r="A104" s="25">
        <v>77</v>
      </c>
      <c r="B104" s="37" t="s">
        <v>144</v>
      </c>
      <c r="C104" s="38" t="s">
        <v>612</v>
      </c>
      <c r="D104" s="28">
        <v>1204</v>
      </c>
      <c r="E104" s="39">
        <f t="shared" si="16"/>
        <v>1260</v>
      </c>
      <c r="F104" s="41">
        <f t="shared" si="17"/>
        <v>56</v>
      </c>
      <c r="G104" s="31">
        <v>1.0364</v>
      </c>
      <c r="H104" s="34">
        <f t="shared" si="12"/>
        <v>1306</v>
      </c>
      <c r="I104" s="34">
        <f t="shared" si="9"/>
        <v>46</v>
      </c>
      <c r="J104" s="40">
        <f t="shared" si="10"/>
        <v>1371</v>
      </c>
      <c r="K104" s="34">
        <f t="shared" si="13"/>
        <v>13.71</v>
      </c>
      <c r="L104" s="34">
        <f t="shared" si="14"/>
        <v>13.7</v>
      </c>
      <c r="M104" s="34">
        <f t="shared" si="15"/>
        <v>1370</v>
      </c>
      <c r="N104" s="35">
        <v>1370</v>
      </c>
      <c r="O104" s="36">
        <f t="shared" si="11"/>
        <v>1.0490045941807045</v>
      </c>
    </row>
    <row r="105" spans="1:15" ht="31.2" customHeight="1">
      <c r="A105" s="25">
        <v>78</v>
      </c>
      <c r="B105" s="37" t="s">
        <v>145</v>
      </c>
      <c r="C105" s="38" t="s">
        <v>613</v>
      </c>
      <c r="D105" s="28">
        <v>1204</v>
      </c>
      <c r="E105" s="39">
        <f t="shared" si="16"/>
        <v>1260</v>
      </c>
      <c r="F105" s="41">
        <f t="shared" si="17"/>
        <v>56</v>
      </c>
      <c r="G105" s="31">
        <v>1.0364</v>
      </c>
      <c r="H105" s="34">
        <f t="shared" si="12"/>
        <v>1306</v>
      </c>
      <c r="I105" s="34">
        <f t="shared" si="9"/>
        <v>46</v>
      </c>
      <c r="J105" s="40">
        <f t="shared" si="10"/>
        <v>1371</v>
      </c>
      <c r="K105" s="34">
        <f t="shared" si="13"/>
        <v>13.71</v>
      </c>
      <c r="L105" s="34">
        <f t="shared" si="14"/>
        <v>13.7</v>
      </c>
      <c r="M105" s="34">
        <f t="shared" si="15"/>
        <v>1370</v>
      </c>
      <c r="N105" s="35">
        <v>1370</v>
      </c>
      <c r="O105" s="36">
        <f t="shared" si="11"/>
        <v>1.0490045941807045</v>
      </c>
    </row>
    <row r="106" spans="1:15" ht="31.2" customHeight="1">
      <c r="A106" s="25">
        <v>79</v>
      </c>
      <c r="B106" s="37" t="s">
        <v>146</v>
      </c>
      <c r="C106" s="38" t="s">
        <v>614</v>
      </c>
      <c r="D106" s="28">
        <v>1498</v>
      </c>
      <c r="E106" s="39">
        <f t="shared" si="16"/>
        <v>1560</v>
      </c>
      <c r="F106" s="41">
        <f t="shared" si="17"/>
        <v>62</v>
      </c>
      <c r="G106" s="31">
        <v>1.0364</v>
      </c>
      <c r="H106" s="34">
        <f t="shared" si="12"/>
        <v>1617</v>
      </c>
      <c r="I106" s="34">
        <f t="shared" si="9"/>
        <v>57</v>
      </c>
      <c r="J106" s="40">
        <f t="shared" si="10"/>
        <v>1698</v>
      </c>
      <c r="K106" s="34">
        <f t="shared" si="13"/>
        <v>16.98</v>
      </c>
      <c r="L106" s="34">
        <f t="shared" si="14"/>
        <v>17</v>
      </c>
      <c r="M106" s="34">
        <f t="shared" si="15"/>
        <v>1700</v>
      </c>
      <c r="N106" s="35">
        <v>1700</v>
      </c>
      <c r="O106" s="36">
        <f t="shared" si="11"/>
        <v>1.0513296227581941</v>
      </c>
    </row>
    <row r="107" spans="1:15" ht="31.2" customHeight="1">
      <c r="A107" s="25">
        <v>80</v>
      </c>
      <c r="B107" s="37" t="s">
        <v>147</v>
      </c>
      <c r="C107" s="38" t="s">
        <v>615</v>
      </c>
      <c r="D107" s="28">
        <v>1645</v>
      </c>
      <c r="E107" s="39">
        <f t="shared" si="16"/>
        <v>1720</v>
      </c>
      <c r="F107" s="41">
        <f t="shared" si="17"/>
        <v>75</v>
      </c>
      <c r="G107" s="31">
        <v>1.0364</v>
      </c>
      <c r="H107" s="34">
        <f t="shared" si="12"/>
        <v>1783</v>
      </c>
      <c r="I107" s="34">
        <f t="shared" si="9"/>
        <v>63</v>
      </c>
      <c r="J107" s="40">
        <f t="shared" si="10"/>
        <v>1872</v>
      </c>
      <c r="K107" s="34">
        <f t="shared" si="13"/>
        <v>18.72</v>
      </c>
      <c r="L107" s="34">
        <f t="shared" si="14"/>
        <v>18.7</v>
      </c>
      <c r="M107" s="34">
        <f t="shared" si="15"/>
        <v>1870</v>
      </c>
      <c r="N107" s="35">
        <v>1870</v>
      </c>
      <c r="O107" s="36">
        <f t="shared" si="11"/>
        <v>1.0487941671340437</v>
      </c>
    </row>
    <row r="108" spans="1:15" ht="31.2" customHeight="1">
      <c r="A108" s="25">
        <v>81</v>
      </c>
      <c r="B108" s="37" t="s">
        <v>148</v>
      </c>
      <c r="C108" s="38" t="s">
        <v>616</v>
      </c>
      <c r="D108" s="28">
        <v>1954</v>
      </c>
      <c r="E108" s="39">
        <f t="shared" si="16"/>
        <v>2040</v>
      </c>
      <c r="F108" s="41">
        <f t="shared" si="17"/>
        <v>86</v>
      </c>
      <c r="G108" s="31">
        <v>1.0364</v>
      </c>
      <c r="H108" s="34">
        <f t="shared" si="12"/>
        <v>2114</v>
      </c>
      <c r="I108" s="34">
        <f t="shared" si="9"/>
        <v>74</v>
      </c>
      <c r="J108" s="40">
        <f t="shared" si="10"/>
        <v>2220</v>
      </c>
      <c r="K108" s="34">
        <f t="shared" si="13"/>
        <v>22.2</v>
      </c>
      <c r="L108" s="34">
        <f t="shared" si="14"/>
        <v>22.2</v>
      </c>
      <c r="M108" s="34">
        <f t="shared" si="15"/>
        <v>2220</v>
      </c>
      <c r="N108" s="35">
        <v>2220</v>
      </c>
      <c r="O108" s="36">
        <f t="shared" si="11"/>
        <v>1.0501419110690633</v>
      </c>
    </row>
    <row r="109" spans="1:15" ht="31.2" customHeight="1">
      <c r="A109" s="25">
        <v>82</v>
      </c>
      <c r="B109" s="37" t="s">
        <v>149</v>
      </c>
      <c r="C109" s="38" t="s">
        <v>617</v>
      </c>
      <c r="D109" s="28">
        <v>602</v>
      </c>
      <c r="E109" s="39">
        <f t="shared" si="16"/>
        <v>630</v>
      </c>
      <c r="F109" s="41">
        <f t="shared" si="17"/>
        <v>28</v>
      </c>
      <c r="G109" s="31">
        <v>1.0364</v>
      </c>
      <c r="H109" s="34">
        <f t="shared" si="12"/>
        <v>653</v>
      </c>
      <c r="I109" s="34">
        <f t="shared" si="9"/>
        <v>23</v>
      </c>
      <c r="J109" s="40">
        <f t="shared" si="10"/>
        <v>686</v>
      </c>
      <c r="K109" s="34">
        <f t="shared" si="13"/>
        <v>6.86</v>
      </c>
      <c r="L109" s="34">
        <f t="shared" si="14"/>
        <v>6.9</v>
      </c>
      <c r="M109" s="34">
        <f t="shared" si="15"/>
        <v>690</v>
      </c>
      <c r="N109" s="35">
        <v>690</v>
      </c>
      <c r="O109" s="36">
        <f t="shared" si="11"/>
        <v>1.0566615620214395</v>
      </c>
    </row>
    <row r="110" spans="1:15" ht="31.2" customHeight="1">
      <c r="A110" s="25">
        <v>83</v>
      </c>
      <c r="B110" s="37" t="s">
        <v>150</v>
      </c>
      <c r="C110" s="38" t="s">
        <v>151</v>
      </c>
      <c r="D110" s="28">
        <v>749</v>
      </c>
      <c r="E110" s="39">
        <f t="shared" si="16"/>
        <v>780</v>
      </c>
      <c r="F110" s="41">
        <f t="shared" si="17"/>
        <v>31</v>
      </c>
      <c r="G110" s="31">
        <v>1.0364</v>
      </c>
      <c r="H110" s="34">
        <f t="shared" si="12"/>
        <v>808</v>
      </c>
      <c r="I110" s="34">
        <f t="shared" si="9"/>
        <v>28</v>
      </c>
      <c r="J110" s="40">
        <f t="shared" si="10"/>
        <v>848</v>
      </c>
      <c r="K110" s="34">
        <f t="shared" si="13"/>
        <v>8.48</v>
      </c>
      <c r="L110" s="34">
        <f t="shared" si="14"/>
        <v>8.5</v>
      </c>
      <c r="M110" s="34">
        <f t="shared" si="15"/>
        <v>850</v>
      </c>
      <c r="N110" s="35">
        <v>850</v>
      </c>
      <c r="O110" s="36">
        <f t="shared" si="11"/>
        <v>1.051980198019802</v>
      </c>
    </row>
    <row r="111" spans="1:15" ht="31.2" customHeight="1">
      <c r="A111" s="25">
        <v>84</v>
      </c>
      <c r="B111" s="37" t="s">
        <v>152</v>
      </c>
      <c r="C111" s="38" t="s">
        <v>153</v>
      </c>
      <c r="D111" s="28">
        <v>1058</v>
      </c>
      <c r="E111" s="39">
        <f t="shared" si="16"/>
        <v>1100</v>
      </c>
      <c r="F111" s="41">
        <f t="shared" si="17"/>
        <v>42</v>
      </c>
      <c r="G111" s="31">
        <v>1.0364</v>
      </c>
      <c r="H111" s="34">
        <f t="shared" si="12"/>
        <v>1140</v>
      </c>
      <c r="I111" s="34">
        <f t="shared" si="9"/>
        <v>40</v>
      </c>
      <c r="J111" s="40">
        <f t="shared" si="10"/>
        <v>1197</v>
      </c>
      <c r="K111" s="34">
        <f t="shared" si="13"/>
        <v>11.97</v>
      </c>
      <c r="L111" s="34">
        <f t="shared" si="14"/>
        <v>12</v>
      </c>
      <c r="M111" s="34">
        <f t="shared" si="15"/>
        <v>1200</v>
      </c>
      <c r="N111" s="35">
        <v>1200</v>
      </c>
      <c r="O111" s="36">
        <f t="shared" si="11"/>
        <v>1.0526315789473684</v>
      </c>
    </row>
    <row r="112" spans="1:15" ht="31.2" customHeight="1">
      <c r="A112" s="25">
        <v>85</v>
      </c>
      <c r="B112" s="37" t="s">
        <v>154</v>
      </c>
      <c r="C112" s="38" t="s">
        <v>155</v>
      </c>
      <c r="D112" s="28">
        <v>294</v>
      </c>
      <c r="E112" s="39">
        <f t="shared" si="16"/>
        <v>310</v>
      </c>
      <c r="F112" s="41">
        <f t="shared" si="17"/>
        <v>16</v>
      </c>
      <c r="G112" s="31">
        <v>1.0364</v>
      </c>
      <c r="H112" s="34">
        <f t="shared" si="12"/>
        <v>321</v>
      </c>
      <c r="I112" s="34">
        <f t="shared" si="9"/>
        <v>11</v>
      </c>
      <c r="J112" s="40">
        <f t="shared" si="10"/>
        <v>337</v>
      </c>
      <c r="K112" s="34">
        <f t="shared" si="13"/>
        <v>3.37</v>
      </c>
      <c r="L112" s="34">
        <f t="shared" si="14"/>
        <v>3.4</v>
      </c>
      <c r="M112" s="34">
        <f t="shared" si="15"/>
        <v>340</v>
      </c>
      <c r="N112" s="35">
        <v>340</v>
      </c>
      <c r="O112" s="36">
        <f t="shared" si="11"/>
        <v>1.0591900311526479</v>
      </c>
    </row>
    <row r="113" spans="1:15" ht="31.2" customHeight="1">
      <c r="A113" s="25">
        <v>86</v>
      </c>
      <c r="B113" s="37" t="s">
        <v>156</v>
      </c>
      <c r="C113" s="38" t="s">
        <v>157</v>
      </c>
      <c r="D113" s="28">
        <v>490</v>
      </c>
      <c r="E113" s="39">
        <f t="shared" si="16"/>
        <v>510</v>
      </c>
      <c r="F113" s="41">
        <f t="shared" si="17"/>
        <v>20</v>
      </c>
      <c r="G113" s="31">
        <v>1.0364</v>
      </c>
      <c r="H113" s="34">
        <f t="shared" si="12"/>
        <v>529</v>
      </c>
      <c r="I113" s="34">
        <f t="shared" si="9"/>
        <v>19</v>
      </c>
      <c r="J113" s="40">
        <f t="shared" si="10"/>
        <v>555</v>
      </c>
      <c r="K113" s="34">
        <f t="shared" si="13"/>
        <v>5.55</v>
      </c>
      <c r="L113" s="34">
        <f t="shared" si="14"/>
        <v>5.6</v>
      </c>
      <c r="M113" s="34">
        <f t="shared" si="15"/>
        <v>560</v>
      </c>
      <c r="N113" s="35">
        <v>560</v>
      </c>
      <c r="O113" s="36">
        <f t="shared" si="11"/>
        <v>1.0586011342155008</v>
      </c>
    </row>
    <row r="114" spans="1:15" ht="16.95" customHeight="1">
      <c r="A114" s="25">
        <v>87</v>
      </c>
      <c r="B114" s="37" t="s">
        <v>158</v>
      </c>
      <c r="C114" s="38" t="s">
        <v>159</v>
      </c>
      <c r="D114" s="28">
        <v>612</v>
      </c>
      <c r="E114" s="39">
        <f t="shared" si="16"/>
        <v>640</v>
      </c>
      <c r="F114" s="41">
        <f t="shared" si="17"/>
        <v>28</v>
      </c>
      <c r="G114" s="31">
        <v>1.0364</v>
      </c>
      <c r="H114" s="34">
        <f t="shared" si="12"/>
        <v>663</v>
      </c>
      <c r="I114" s="34">
        <f t="shared" si="9"/>
        <v>23</v>
      </c>
      <c r="J114" s="40">
        <f t="shared" si="10"/>
        <v>696</v>
      </c>
      <c r="K114" s="34">
        <f t="shared" si="13"/>
        <v>6.96</v>
      </c>
      <c r="L114" s="34">
        <f t="shared" si="14"/>
        <v>7</v>
      </c>
      <c r="M114" s="34">
        <f t="shared" si="15"/>
        <v>700</v>
      </c>
      <c r="N114" s="35">
        <v>700</v>
      </c>
      <c r="O114" s="36">
        <f t="shared" si="11"/>
        <v>1.0558069381598794</v>
      </c>
    </row>
    <row r="115" spans="1:15" ht="16.95" customHeight="1">
      <c r="A115" s="25">
        <v>88</v>
      </c>
      <c r="B115" s="37" t="s">
        <v>160</v>
      </c>
      <c r="C115" s="38" t="s">
        <v>161</v>
      </c>
      <c r="D115" s="28">
        <v>367</v>
      </c>
      <c r="E115" s="39">
        <f t="shared" si="16"/>
        <v>380</v>
      </c>
      <c r="F115" s="41">
        <f t="shared" si="17"/>
        <v>13</v>
      </c>
      <c r="G115" s="31">
        <v>1.0364</v>
      </c>
      <c r="H115" s="34">
        <f t="shared" si="12"/>
        <v>394</v>
      </c>
      <c r="I115" s="34">
        <f t="shared" si="9"/>
        <v>14</v>
      </c>
      <c r="J115" s="40">
        <f t="shared" si="10"/>
        <v>414</v>
      </c>
      <c r="K115" s="34">
        <f t="shared" si="13"/>
        <v>4.1399999999999997</v>
      </c>
      <c r="L115" s="34">
        <f t="shared" si="14"/>
        <v>4.0999999999999996</v>
      </c>
      <c r="M115" s="34">
        <f t="shared" si="15"/>
        <v>409.99999999999994</v>
      </c>
      <c r="N115" s="35">
        <v>409.99999999999994</v>
      </c>
      <c r="O115" s="36">
        <f t="shared" si="11"/>
        <v>1.0406091370558375</v>
      </c>
    </row>
    <row r="116" spans="1:15" ht="16.95" customHeight="1">
      <c r="A116" s="25">
        <v>89</v>
      </c>
      <c r="B116" s="37" t="s">
        <v>162</v>
      </c>
      <c r="C116" s="38" t="s">
        <v>163</v>
      </c>
      <c r="D116" s="28">
        <v>1807</v>
      </c>
      <c r="E116" s="39">
        <f t="shared" si="16"/>
        <v>1880</v>
      </c>
      <c r="F116" s="41">
        <f t="shared" si="17"/>
        <v>73</v>
      </c>
      <c r="G116" s="31">
        <v>1.0364</v>
      </c>
      <c r="H116" s="34">
        <f t="shared" si="12"/>
        <v>1948</v>
      </c>
      <c r="I116" s="34">
        <f t="shared" si="9"/>
        <v>68</v>
      </c>
      <c r="J116" s="40">
        <f t="shared" si="10"/>
        <v>2045</v>
      </c>
      <c r="K116" s="34">
        <f t="shared" si="13"/>
        <v>20.45</v>
      </c>
      <c r="L116" s="34">
        <f t="shared" si="14"/>
        <v>20.5</v>
      </c>
      <c r="M116" s="34">
        <f t="shared" si="15"/>
        <v>2050</v>
      </c>
      <c r="N116" s="35">
        <v>2050</v>
      </c>
      <c r="O116" s="36">
        <f t="shared" si="11"/>
        <v>1.0523613963039014</v>
      </c>
    </row>
    <row r="117" spans="1:15" ht="16.95" customHeight="1">
      <c r="A117" s="25">
        <v>90</v>
      </c>
      <c r="B117" s="37" t="s">
        <v>164</v>
      </c>
      <c r="C117" s="38" t="s">
        <v>165</v>
      </c>
      <c r="D117" s="28">
        <v>1807</v>
      </c>
      <c r="E117" s="39">
        <f t="shared" si="16"/>
        <v>1880</v>
      </c>
      <c r="F117" s="41">
        <f t="shared" si="17"/>
        <v>73</v>
      </c>
      <c r="G117" s="31">
        <v>1.0364</v>
      </c>
      <c r="H117" s="34">
        <f t="shared" si="12"/>
        <v>1948</v>
      </c>
      <c r="I117" s="34">
        <f t="shared" si="9"/>
        <v>68</v>
      </c>
      <c r="J117" s="40">
        <f t="shared" si="10"/>
        <v>2045</v>
      </c>
      <c r="K117" s="34">
        <f t="shared" si="13"/>
        <v>20.45</v>
      </c>
      <c r="L117" s="34">
        <f t="shared" si="14"/>
        <v>20.5</v>
      </c>
      <c r="M117" s="34">
        <f t="shared" si="15"/>
        <v>2050</v>
      </c>
      <c r="N117" s="35">
        <v>2050</v>
      </c>
      <c r="O117" s="36">
        <f t="shared" si="11"/>
        <v>1.0523613963039014</v>
      </c>
    </row>
    <row r="118" spans="1:15" ht="16.95" customHeight="1">
      <c r="A118" s="25">
        <v>91</v>
      </c>
      <c r="B118" s="37" t="s">
        <v>166</v>
      </c>
      <c r="C118" s="38" t="s">
        <v>167</v>
      </c>
      <c r="D118" s="28">
        <v>602</v>
      </c>
      <c r="E118" s="39">
        <f t="shared" si="16"/>
        <v>630</v>
      </c>
      <c r="F118" s="41">
        <f t="shared" si="17"/>
        <v>28</v>
      </c>
      <c r="G118" s="31">
        <v>1.0364</v>
      </c>
      <c r="H118" s="34">
        <f t="shared" si="12"/>
        <v>653</v>
      </c>
      <c r="I118" s="34">
        <f t="shared" si="9"/>
        <v>23</v>
      </c>
      <c r="J118" s="40">
        <f t="shared" si="10"/>
        <v>686</v>
      </c>
      <c r="K118" s="34">
        <f t="shared" si="13"/>
        <v>6.86</v>
      </c>
      <c r="L118" s="34">
        <f t="shared" si="14"/>
        <v>6.9</v>
      </c>
      <c r="M118" s="34">
        <f t="shared" si="15"/>
        <v>690</v>
      </c>
      <c r="N118" s="35">
        <v>690</v>
      </c>
      <c r="O118" s="36">
        <f t="shared" si="11"/>
        <v>1.0566615620214395</v>
      </c>
    </row>
    <row r="119" spans="1:15" ht="16.95" customHeight="1">
      <c r="A119" s="25">
        <v>92</v>
      </c>
      <c r="B119" s="37" t="s">
        <v>168</v>
      </c>
      <c r="C119" s="38" t="s">
        <v>169</v>
      </c>
      <c r="D119" s="28">
        <v>147</v>
      </c>
      <c r="E119" s="39">
        <f t="shared" si="16"/>
        <v>150</v>
      </c>
      <c r="F119" s="41">
        <f t="shared" si="17"/>
        <v>3</v>
      </c>
      <c r="G119" s="31">
        <v>1.0364</v>
      </c>
      <c r="H119" s="34">
        <f t="shared" si="12"/>
        <v>155</v>
      </c>
      <c r="I119" s="34">
        <f t="shared" si="9"/>
        <v>5</v>
      </c>
      <c r="J119" s="40">
        <f t="shared" si="10"/>
        <v>163</v>
      </c>
      <c r="K119" s="34">
        <f t="shared" si="13"/>
        <v>1.63</v>
      </c>
      <c r="L119" s="34">
        <f t="shared" si="14"/>
        <v>1.6</v>
      </c>
      <c r="M119" s="34">
        <f t="shared" si="15"/>
        <v>160</v>
      </c>
      <c r="N119" s="35">
        <v>160</v>
      </c>
      <c r="O119" s="36">
        <f t="shared" si="11"/>
        <v>1.032258064516129</v>
      </c>
    </row>
    <row r="120" spans="1:15" ht="31.2" customHeight="1">
      <c r="A120" s="25">
        <v>93</v>
      </c>
      <c r="B120" s="37" t="s">
        <v>170</v>
      </c>
      <c r="C120" s="38" t="s">
        <v>171</v>
      </c>
      <c r="D120" s="28">
        <v>294</v>
      </c>
      <c r="E120" s="39">
        <f t="shared" si="16"/>
        <v>310</v>
      </c>
      <c r="F120" s="41">
        <f t="shared" si="17"/>
        <v>16</v>
      </c>
      <c r="G120" s="31">
        <v>1.0364</v>
      </c>
      <c r="H120" s="34">
        <f t="shared" si="12"/>
        <v>321</v>
      </c>
      <c r="I120" s="34">
        <f t="shared" si="9"/>
        <v>11</v>
      </c>
      <c r="J120" s="40">
        <f t="shared" si="10"/>
        <v>337</v>
      </c>
      <c r="K120" s="34">
        <f t="shared" si="13"/>
        <v>3.37</v>
      </c>
      <c r="L120" s="34">
        <f t="shared" si="14"/>
        <v>3.4</v>
      </c>
      <c r="M120" s="34">
        <f t="shared" si="15"/>
        <v>340</v>
      </c>
      <c r="N120" s="35">
        <v>340</v>
      </c>
      <c r="O120" s="36">
        <f t="shared" si="11"/>
        <v>1.0591900311526479</v>
      </c>
    </row>
    <row r="121" spans="1:15" ht="16.95" customHeight="1">
      <c r="A121" s="25">
        <v>94</v>
      </c>
      <c r="B121" s="37" t="s">
        <v>172</v>
      </c>
      <c r="C121" s="38" t="s">
        <v>173</v>
      </c>
      <c r="D121" s="28">
        <v>73</v>
      </c>
      <c r="E121" s="39">
        <f t="shared" si="16"/>
        <v>80</v>
      </c>
      <c r="F121" s="41">
        <f t="shared" si="17"/>
        <v>7</v>
      </c>
      <c r="G121" s="31">
        <v>1.0364</v>
      </c>
      <c r="H121" s="34">
        <f t="shared" si="12"/>
        <v>83</v>
      </c>
      <c r="I121" s="34">
        <f t="shared" si="9"/>
        <v>3</v>
      </c>
      <c r="J121" s="40">
        <f t="shared" si="10"/>
        <v>87</v>
      </c>
      <c r="K121" s="34">
        <f t="shared" si="13"/>
        <v>0.87</v>
      </c>
      <c r="L121" s="34">
        <f t="shared" si="14"/>
        <v>0.9</v>
      </c>
      <c r="M121" s="34">
        <f t="shared" si="15"/>
        <v>90</v>
      </c>
      <c r="N121" s="35">
        <v>90</v>
      </c>
      <c r="O121" s="36">
        <f t="shared" si="11"/>
        <v>1.0843373493975903</v>
      </c>
    </row>
    <row r="122" spans="1:15" ht="16.95" customHeight="1">
      <c r="A122" s="25">
        <v>95</v>
      </c>
      <c r="B122" s="37" t="s">
        <v>174</v>
      </c>
      <c r="C122" s="38" t="s">
        <v>597</v>
      </c>
      <c r="D122" s="28">
        <v>147</v>
      </c>
      <c r="E122" s="39">
        <f t="shared" si="16"/>
        <v>150</v>
      </c>
      <c r="F122" s="41">
        <f t="shared" si="17"/>
        <v>3</v>
      </c>
      <c r="G122" s="31">
        <v>1.0364</v>
      </c>
      <c r="H122" s="34">
        <f t="shared" si="12"/>
        <v>155</v>
      </c>
      <c r="I122" s="34">
        <f t="shared" si="9"/>
        <v>5</v>
      </c>
      <c r="J122" s="40">
        <f t="shared" si="10"/>
        <v>163</v>
      </c>
      <c r="K122" s="34">
        <f t="shared" si="13"/>
        <v>1.63</v>
      </c>
      <c r="L122" s="34">
        <f t="shared" si="14"/>
        <v>1.6</v>
      </c>
      <c r="M122" s="34">
        <f t="shared" si="15"/>
        <v>160</v>
      </c>
      <c r="N122" s="35">
        <v>160</v>
      </c>
      <c r="O122" s="36">
        <f t="shared" si="11"/>
        <v>1.032258064516129</v>
      </c>
    </row>
    <row r="123" spans="1:15" ht="16.95" customHeight="1">
      <c r="A123" s="25">
        <v>96</v>
      </c>
      <c r="B123" s="37" t="s">
        <v>175</v>
      </c>
      <c r="C123" s="38" t="s">
        <v>176</v>
      </c>
      <c r="D123" s="28">
        <v>73</v>
      </c>
      <c r="E123" s="39">
        <f t="shared" si="16"/>
        <v>80</v>
      </c>
      <c r="F123" s="41">
        <f t="shared" si="17"/>
        <v>7</v>
      </c>
      <c r="G123" s="31">
        <v>1.0364</v>
      </c>
      <c r="H123" s="34">
        <f t="shared" si="12"/>
        <v>83</v>
      </c>
      <c r="I123" s="34">
        <f t="shared" si="9"/>
        <v>3</v>
      </c>
      <c r="J123" s="40">
        <f t="shared" si="10"/>
        <v>87</v>
      </c>
      <c r="K123" s="34">
        <f t="shared" si="13"/>
        <v>0.87</v>
      </c>
      <c r="L123" s="34">
        <f t="shared" si="14"/>
        <v>0.9</v>
      </c>
      <c r="M123" s="34">
        <f t="shared" si="15"/>
        <v>90</v>
      </c>
      <c r="N123" s="35">
        <v>90</v>
      </c>
      <c r="O123" s="36">
        <f t="shared" si="11"/>
        <v>1.0843373493975903</v>
      </c>
    </row>
    <row r="124" spans="1:15" ht="16.95" customHeight="1">
      <c r="A124" s="25">
        <v>97</v>
      </c>
      <c r="B124" s="37" t="s">
        <v>177</v>
      </c>
      <c r="C124" s="38" t="s">
        <v>178</v>
      </c>
      <c r="D124" s="28">
        <v>1498</v>
      </c>
      <c r="E124" s="39">
        <f t="shared" si="16"/>
        <v>1560</v>
      </c>
      <c r="F124" s="41">
        <f t="shared" si="17"/>
        <v>62</v>
      </c>
      <c r="G124" s="31">
        <v>1.0364</v>
      </c>
      <c r="H124" s="34">
        <f t="shared" si="12"/>
        <v>1617</v>
      </c>
      <c r="I124" s="34">
        <f t="shared" si="9"/>
        <v>57</v>
      </c>
      <c r="J124" s="40">
        <f t="shared" si="10"/>
        <v>1698</v>
      </c>
      <c r="K124" s="34">
        <f t="shared" si="13"/>
        <v>16.98</v>
      </c>
      <c r="L124" s="34">
        <f t="shared" si="14"/>
        <v>17</v>
      </c>
      <c r="M124" s="34">
        <f t="shared" si="15"/>
        <v>1700</v>
      </c>
      <c r="N124" s="35">
        <v>1700</v>
      </c>
      <c r="O124" s="36">
        <f t="shared" si="11"/>
        <v>1.0513296227581941</v>
      </c>
    </row>
    <row r="125" spans="1:15" ht="16.95" customHeight="1">
      <c r="A125" s="25">
        <v>98</v>
      </c>
      <c r="B125" s="37" t="s">
        <v>179</v>
      </c>
      <c r="C125" s="38" t="s">
        <v>180</v>
      </c>
      <c r="D125" s="28">
        <v>1807</v>
      </c>
      <c r="E125" s="39">
        <f t="shared" si="16"/>
        <v>1880</v>
      </c>
      <c r="F125" s="41">
        <f t="shared" si="17"/>
        <v>73</v>
      </c>
      <c r="G125" s="31">
        <v>1.0364</v>
      </c>
      <c r="H125" s="34">
        <f t="shared" si="12"/>
        <v>1948</v>
      </c>
      <c r="I125" s="34">
        <f t="shared" si="9"/>
        <v>68</v>
      </c>
      <c r="J125" s="40">
        <f t="shared" si="10"/>
        <v>2045</v>
      </c>
      <c r="K125" s="34">
        <f t="shared" si="13"/>
        <v>20.45</v>
      </c>
      <c r="L125" s="34">
        <f t="shared" si="14"/>
        <v>20.5</v>
      </c>
      <c r="M125" s="34">
        <f t="shared" si="15"/>
        <v>2050</v>
      </c>
      <c r="N125" s="35">
        <v>2050</v>
      </c>
      <c r="O125" s="36">
        <f t="shared" si="11"/>
        <v>1.0523613963039014</v>
      </c>
    </row>
    <row r="126" spans="1:15" ht="31.2" customHeight="1">
      <c r="A126" s="25">
        <v>99</v>
      </c>
      <c r="B126" s="37" t="s">
        <v>181</v>
      </c>
      <c r="C126" s="38" t="s">
        <v>182</v>
      </c>
      <c r="D126" s="28">
        <v>896</v>
      </c>
      <c r="E126" s="39">
        <f t="shared" si="16"/>
        <v>930</v>
      </c>
      <c r="F126" s="41">
        <f t="shared" si="17"/>
        <v>34</v>
      </c>
      <c r="G126" s="31">
        <v>1.0364</v>
      </c>
      <c r="H126" s="34">
        <f t="shared" si="12"/>
        <v>964</v>
      </c>
      <c r="I126" s="34">
        <f t="shared" si="9"/>
        <v>34</v>
      </c>
      <c r="J126" s="40">
        <f t="shared" si="10"/>
        <v>1012</v>
      </c>
      <c r="K126" s="34">
        <f t="shared" si="13"/>
        <v>10.119999999999999</v>
      </c>
      <c r="L126" s="34">
        <f t="shared" si="14"/>
        <v>10.1</v>
      </c>
      <c r="M126" s="34">
        <f t="shared" si="15"/>
        <v>1010</v>
      </c>
      <c r="N126" s="35">
        <v>1010</v>
      </c>
      <c r="O126" s="36">
        <f t="shared" si="11"/>
        <v>1.0477178423236515</v>
      </c>
    </row>
    <row r="127" spans="1:15" ht="31.2" customHeight="1">
      <c r="A127" s="25">
        <v>100</v>
      </c>
      <c r="B127" s="37" t="s">
        <v>183</v>
      </c>
      <c r="C127" s="38" t="s">
        <v>184</v>
      </c>
      <c r="D127" s="28">
        <v>147</v>
      </c>
      <c r="E127" s="39">
        <f t="shared" si="16"/>
        <v>150</v>
      </c>
      <c r="F127" s="41">
        <f t="shared" si="17"/>
        <v>3</v>
      </c>
      <c r="G127" s="31">
        <v>1.0364</v>
      </c>
      <c r="H127" s="34">
        <f t="shared" si="12"/>
        <v>155</v>
      </c>
      <c r="I127" s="34">
        <f t="shared" si="9"/>
        <v>5</v>
      </c>
      <c r="J127" s="40">
        <f t="shared" si="10"/>
        <v>163</v>
      </c>
      <c r="K127" s="34">
        <f t="shared" si="13"/>
        <v>1.63</v>
      </c>
      <c r="L127" s="34">
        <f t="shared" si="14"/>
        <v>1.6</v>
      </c>
      <c r="M127" s="34">
        <f t="shared" si="15"/>
        <v>160</v>
      </c>
      <c r="N127" s="35">
        <v>160</v>
      </c>
      <c r="O127" s="36">
        <f t="shared" si="11"/>
        <v>1.032258064516129</v>
      </c>
    </row>
    <row r="128" spans="1:15" ht="16.95" customHeight="1">
      <c r="A128" s="25">
        <v>101</v>
      </c>
      <c r="B128" s="37" t="s">
        <v>185</v>
      </c>
      <c r="C128" s="38" t="s">
        <v>186</v>
      </c>
      <c r="D128" s="28">
        <v>2100</v>
      </c>
      <c r="E128" s="39">
        <f t="shared" si="16"/>
        <v>2190</v>
      </c>
      <c r="F128" s="41">
        <f t="shared" si="17"/>
        <v>90</v>
      </c>
      <c r="G128" s="31">
        <v>1.0364</v>
      </c>
      <c r="H128" s="34">
        <f t="shared" si="12"/>
        <v>2270</v>
      </c>
      <c r="I128" s="34">
        <f t="shared" si="9"/>
        <v>80</v>
      </c>
      <c r="J128" s="40">
        <f t="shared" si="10"/>
        <v>2384</v>
      </c>
      <c r="K128" s="34">
        <f t="shared" si="13"/>
        <v>23.84</v>
      </c>
      <c r="L128" s="34">
        <f t="shared" si="14"/>
        <v>23.8</v>
      </c>
      <c r="M128" s="34">
        <f t="shared" si="15"/>
        <v>2380</v>
      </c>
      <c r="N128" s="35">
        <v>2380</v>
      </c>
      <c r="O128" s="36">
        <f t="shared" si="11"/>
        <v>1.0484581497797356</v>
      </c>
    </row>
    <row r="129" spans="1:15" ht="16.95" customHeight="1">
      <c r="A129" s="25">
        <v>102</v>
      </c>
      <c r="B129" s="37" t="s">
        <v>187</v>
      </c>
      <c r="C129" s="38" t="s">
        <v>188</v>
      </c>
      <c r="D129" s="28">
        <v>1807</v>
      </c>
      <c r="E129" s="39">
        <f t="shared" si="16"/>
        <v>1880</v>
      </c>
      <c r="F129" s="41">
        <f t="shared" si="17"/>
        <v>73</v>
      </c>
      <c r="G129" s="31">
        <v>1.0364</v>
      </c>
      <c r="H129" s="34">
        <f t="shared" si="12"/>
        <v>1948</v>
      </c>
      <c r="I129" s="34">
        <f t="shared" si="9"/>
        <v>68</v>
      </c>
      <c r="J129" s="40">
        <f t="shared" si="10"/>
        <v>2045</v>
      </c>
      <c r="K129" s="34">
        <f t="shared" si="13"/>
        <v>20.45</v>
      </c>
      <c r="L129" s="34">
        <f t="shared" si="14"/>
        <v>20.5</v>
      </c>
      <c r="M129" s="34">
        <f t="shared" si="15"/>
        <v>2050</v>
      </c>
      <c r="N129" s="35">
        <v>2050</v>
      </c>
      <c r="O129" s="36">
        <f t="shared" si="11"/>
        <v>1.0523613963039014</v>
      </c>
    </row>
    <row r="130" spans="1:15" ht="16.95" customHeight="1">
      <c r="A130" s="25">
        <v>103</v>
      </c>
      <c r="B130" s="37" t="s">
        <v>189</v>
      </c>
      <c r="C130" s="38" t="s">
        <v>190</v>
      </c>
      <c r="D130" s="28">
        <v>294</v>
      </c>
      <c r="E130" s="39">
        <f t="shared" si="16"/>
        <v>310</v>
      </c>
      <c r="F130" s="41">
        <f t="shared" si="17"/>
        <v>16</v>
      </c>
      <c r="G130" s="31">
        <v>1.0364</v>
      </c>
      <c r="H130" s="34">
        <f t="shared" si="12"/>
        <v>321</v>
      </c>
      <c r="I130" s="34">
        <f t="shared" si="9"/>
        <v>11</v>
      </c>
      <c r="J130" s="40">
        <f t="shared" si="10"/>
        <v>337</v>
      </c>
      <c r="K130" s="34">
        <f t="shared" si="13"/>
        <v>3.37</v>
      </c>
      <c r="L130" s="34">
        <f t="shared" si="14"/>
        <v>3.4</v>
      </c>
      <c r="M130" s="34">
        <f t="shared" si="15"/>
        <v>340</v>
      </c>
      <c r="N130" s="35">
        <v>340</v>
      </c>
      <c r="O130" s="36">
        <f t="shared" si="11"/>
        <v>1.0591900311526479</v>
      </c>
    </row>
    <row r="131" spans="1:15" ht="16.95" customHeight="1">
      <c r="A131" s="25">
        <v>104</v>
      </c>
      <c r="B131" s="37" t="s">
        <v>191</v>
      </c>
      <c r="C131" s="38" t="s">
        <v>192</v>
      </c>
      <c r="D131" s="28">
        <v>382</v>
      </c>
      <c r="E131" s="39">
        <f t="shared" si="16"/>
        <v>400</v>
      </c>
      <c r="F131" s="41">
        <f t="shared" si="17"/>
        <v>18</v>
      </c>
      <c r="G131" s="31">
        <v>1.0364</v>
      </c>
      <c r="H131" s="34">
        <f t="shared" si="12"/>
        <v>415</v>
      </c>
      <c r="I131" s="34">
        <f t="shared" si="9"/>
        <v>15</v>
      </c>
      <c r="J131" s="40">
        <f t="shared" si="10"/>
        <v>436</v>
      </c>
      <c r="K131" s="34">
        <f t="shared" si="13"/>
        <v>4.3600000000000003</v>
      </c>
      <c r="L131" s="34">
        <f t="shared" si="14"/>
        <v>4.4000000000000004</v>
      </c>
      <c r="M131" s="34">
        <f t="shared" si="15"/>
        <v>440.00000000000006</v>
      </c>
      <c r="N131" s="35">
        <v>440.00000000000006</v>
      </c>
      <c r="O131" s="36">
        <f t="shared" si="11"/>
        <v>1.0602409638554218</v>
      </c>
    </row>
    <row r="132" spans="1:15" ht="16.95" customHeight="1">
      <c r="A132" s="25">
        <v>105</v>
      </c>
      <c r="B132" s="37" t="s">
        <v>193</v>
      </c>
      <c r="C132" s="38" t="s">
        <v>194</v>
      </c>
      <c r="D132" s="28">
        <v>184</v>
      </c>
      <c r="E132" s="39">
        <f t="shared" si="16"/>
        <v>190</v>
      </c>
      <c r="F132" s="41">
        <f t="shared" si="17"/>
        <v>6</v>
      </c>
      <c r="G132" s="31">
        <v>1.0364</v>
      </c>
      <c r="H132" s="34">
        <f t="shared" si="12"/>
        <v>197</v>
      </c>
      <c r="I132" s="34">
        <f t="shared" si="9"/>
        <v>7</v>
      </c>
      <c r="J132" s="40">
        <f t="shared" si="10"/>
        <v>207</v>
      </c>
      <c r="K132" s="34">
        <f t="shared" si="13"/>
        <v>2.0699999999999998</v>
      </c>
      <c r="L132" s="34">
        <f t="shared" si="14"/>
        <v>2.1</v>
      </c>
      <c r="M132" s="34">
        <f t="shared" si="15"/>
        <v>210</v>
      </c>
      <c r="N132" s="35">
        <v>210</v>
      </c>
      <c r="O132" s="36">
        <f t="shared" si="11"/>
        <v>1.0659898477157361</v>
      </c>
    </row>
    <row r="133" spans="1:15" ht="16.95" customHeight="1">
      <c r="A133" s="25">
        <v>106</v>
      </c>
      <c r="B133" s="37" t="s">
        <v>195</v>
      </c>
      <c r="C133" s="38" t="s">
        <v>196</v>
      </c>
      <c r="D133" s="28">
        <v>294</v>
      </c>
      <c r="E133" s="39">
        <f t="shared" si="16"/>
        <v>310</v>
      </c>
      <c r="F133" s="41">
        <f t="shared" si="17"/>
        <v>16</v>
      </c>
      <c r="G133" s="31">
        <v>1.0364</v>
      </c>
      <c r="H133" s="34">
        <f t="shared" si="12"/>
        <v>321</v>
      </c>
      <c r="I133" s="34">
        <f t="shared" si="9"/>
        <v>11</v>
      </c>
      <c r="J133" s="40">
        <f t="shared" si="10"/>
        <v>337</v>
      </c>
      <c r="K133" s="34">
        <f t="shared" si="13"/>
        <v>3.37</v>
      </c>
      <c r="L133" s="34">
        <f t="shared" si="14"/>
        <v>3.4</v>
      </c>
      <c r="M133" s="34">
        <f t="shared" si="15"/>
        <v>340</v>
      </c>
      <c r="N133" s="35">
        <v>340</v>
      </c>
      <c r="O133" s="36">
        <f t="shared" si="11"/>
        <v>1.0591900311526479</v>
      </c>
    </row>
    <row r="134" spans="1:15" ht="16.95" customHeight="1">
      <c r="A134" s="25">
        <v>107</v>
      </c>
      <c r="B134" s="37" t="s">
        <v>197</v>
      </c>
      <c r="C134" s="38" t="s">
        <v>198</v>
      </c>
      <c r="D134" s="28">
        <v>147</v>
      </c>
      <c r="E134" s="39">
        <f t="shared" si="16"/>
        <v>150</v>
      </c>
      <c r="F134" s="41">
        <f t="shared" si="17"/>
        <v>3</v>
      </c>
      <c r="G134" s="31">
        <v>1.0364</v>
      </c>
      <c r="H134" s="34">
        <f t="shared" si="12"/>
        <v>155</v>
      </c>
      <c r="I134" s="34">
        <f t="shared" si="9"/>
        <v>5</v>
      </c>
      <c r="J134" s="40">
        <f t="shared" si="10"/>
        <v>163</v>
      </c>
      <c r="K134" s="34">
        <f t="shared" si="13"/>
        <v>1.63</v>
      </c>
      <c r="L134" s="34">
        <f t="shared" si="14"/>
        <v>1.6</v>
      </c>
      <c r="M134" s="34">
        <f t="shared" si="15"/>
        <v>160</v>
      </c>
      <c r="N134" s="35">
        <v>160</v>
      </c>
      <c r="O134" s="36">
        <f t="shared" si="11"/>
        <v>1.032258064516129</v>
      </c>
    </row>
    <row r="135" spans="1:15" ht="16.95" customHeight="1">
      <c r="A135" s="25">
        <v>108</v>
      </c>
      <c r="B135" s="37" t="s">
        <v>199</v>
      </c>
      <c r="C135" s="38" t="s">
        <v>200</v>
      </c>
      <c r="D135" s="28">
        <v>294</v>
      </c>
      <c r="E135" s="39">
        <f t="shared" si="16"/>
        <v>310</v>
      </c>
      <c r="F135" s="41">
        <f t="shared" si="17"/>
        <v>16</v>
      </c>
      <c r="G135" s="31">
        <v>1.0364</v>
      </c>
      <c r="H135" s="34">
        <f t="shared" si="12"/>
        <v>321</v>
      </c>
      <c r="I135" s="34">
        <f t="shared" si="9"/>
        <v>11</v>
      </c>
      <c r="J135" s="40">
        <f t="shared" si="10"/>
        <v>337</v>
      </c>
      <c r="K135" s="34">
        <f t="shared" si="13"/>
        <v>3.37</v>
      </c>
      <c r="L135" s="34">
        <f t="shared" si="14"/>
        <v>3.4</v>
      </c>
      <c r="M135" s="34">
        <f t="shared" si="15"/>
        <v>340</v>
      </c>
      <c r="N135" s="35">
        <v>340</v>
      </c>
      <c r="O135" s="36">
        <f t="shared" si="11"/>
        <v>1.0591900311526479</v>
      </c>
    </row>
    <row r="136" spans="1:15" ht="31.2" customHeight="1">
      <c r="A136" s="25">
        <v>109</v>
      </c>
      <c r="B136" s="37" t="s">
        <v>201</v>
      </c>
      <c r="C136" s="38" t="s">
        <v>202</v>
      </c>
      <c r="D136" s="28">
        <v>1469</v>
      </c>
      <c r="E136" s="39">
        <f t="shared" si="16"/>
        <v>1530</v>
      </c>
      <c r="F136" s="41">
        <f t="shared" si="17"/>
        <v>61</v>
      </c>
      <c r="G136" s="31">
        <v>1.0364</v>
      </c>
      <c r="H136" s="34">
        <f t="shared" si="12"/>
        <v>1586</v>
      </c>
      <c r="I136" s="34">
        <f t="shared" si="9"/>
        <v>56</v>
      </c>
      <c r="J136" s="40">
        <f t="shared" si="10"/>
        <v>1665</v>
      </c>
      <c r="K136" s="34">
        <f t="shared" si="13"/>
        <v>16.649999999999999</v>
      </c>
      <c r="L136" s="34">
        <f t="shared" si="14"/>
        <v>16.7</v>
      </c>
      <c r="M136" s="34">
        <f t="shared" si="15"/>
        <v>1670</v>
      </c>
      <c r="N136" s="35">
        <v>1670</v>
      </c>
      <c r="O136" s="36">
        <f t="shared" si="11"/>
        <v>1.0529634300126103</v>
      </c>
    </row>
    <row r="137" spans="1:15" ht="16.95" customHeight="1">
      <c r="A137" s="25"/>
      <c r="B137" s="26"/>
      <c r="C137" s="27" t="s">
        <v>640</v>
      </c>
      <c r="D137" s="28"/>
      <c r="E137" s="29"/>
      <c r="F137" s="30"/>
      <c r="G137" s="31"/>
      <c r="H137" s="27"/>
      <c r="I137" s="27"/>
      <c r="J137" s="33"/>
      <c r="K137" s="34">
        <f t="shared" si="13"/>
        <v>0</v>
      </c>
      <c r="L137" s="34">
        <f t="shared" si="14"/>
        <v>0</v>
      </c>
      <c r="M137" s="27"/>
      <c r="N137" s="35"/>
      <c r="O137" s="36"/>
    </row>
    <row r="138" spans="1:15" ht="16.95" customHeight="1">
      <c r="A138" s="25">
        <v>110</v>
      </c>
      <c r="B138" s="37" t="s">
        <v>203</v>
      </c>
      <c r="C138" s="38" t="s">
        <v>204</v>
      </c>
      <c r="D138" s="28">
        <v>1204</v>
      </c>
      <c r="E138" s="39">
        <f t="shared" si="16"/>
        <v>1260</v>
      </c>
      <c r="F138" s="350">
        <f t="shared" si="17"/>
        <v>56</v>
      </c>
      <c r="G138" s="31">
        <v>1.0364</v>
      </c>
      <c r="H138" s="34">
        <f t="shared" si="12"/>
        <v>1306</v>
      </c>
      <c r="I138" s="34">
        <f t="shared" si="9"/>
        <v>46</v>
      </c>
      <c r="J138" s="40">
        <f t="shared" si="10"/>
        <v>1371</v>
      </c>
      <c r="K138" s="34">
        <f t="shared" si="13"/>
        <v>13.71</v>
      </c>
      <c r="L138" s="34">
        <f t="shared" si="14"/>
        <v>13.7</v>
      </c>
      <c r="M138" s="34">
        <f t="shared" si="15"/>
        <v>1370</v>
      </c>
      <c r="N138" s="35">
        <v>1370</v>
      </c>
      <c r="O138" s="36">
        <f t="shared" si="11"/>
        <v>1.0490045941807045</v>
      </c>
    </row>
    <row r="139" spans="1:15" ht="16.95" customHeight="1">
      <c r="A139" s="25">
        <v>111</v>
      </c>
      <c r="B139" s="37" t="s">
        <v>205</v>
      </c>
      <c r="C139" s="38" t="s">
        <v>206</v>
      </c>
      <c r="D139" s="28">
        <v>294</v>
      </c>
      <c r="E139" s="39">
        <f t="shared" si="16"/>
        <v>310</v>
      </c>
      <c r="F139" s="350">
        <f t="shared" si="17"/>
        <v>16</v>
      </c>
      <c r="G139" s="31">
        <v>1.0364</v>
      </c>
      <c r="H139" s="34">
        <f t="shared" si="12"/>
        <v>321</v>
      </c>
      <c r="I139" s="34">
        <f t="shared" si="9"/>
        <v>11</v>
      </c>
      <c r="J139" s="40">
        <f t="shared" si="10"/>
        <v>337</v>
      </c>
      <c r="K139" s="34">
        <f t="shared" si="13"/>
        <v>3.37</v>
      </c>
      <c r="L139" s="34">
        <f t="shared" si="14"/>
        <v>3.4</v>
      </c>
      <c r="M139" s="34">
        <f t="shared" si="15"/>
        <v>340</v>
      </c>
      <c r="N139" s="35">
        <v>350</v>
      </c>
      <c r="O139" s="36">
        <f t="shared" si="11"/>
        <v>1.0903426791277258</v>
      </c>
    </row>
    <row r="140" spans="1:15" ht="16.95" customHeight="1">
      <c r="A140" s="25">
        <v>112</v>
      </c>
      <c r="B140" s="37" t="s">
        <v>207</v>
      </c>
      <c r="C140" s="38" t="s">
        <v>208</v>
      </c>
      <c r="D140" s="28">
        <v>1224</v>
      </c>
      <c r="E140" s="39">
        <f t="shared" si="16"/>
        <v>1280</v>
      </c>
      <c r="F140" s="350">
        <f t="shared" si="17"/>
        <v>56</v>
      </c>
      <c r="G140" s="31">
        <v>1.0364</v>
      </c>
      <c r="H140" s="34">
        <f t="shared" si="12"/>
        <v>1327</v>
      </c>
      <c r="I140" s="34">
        <f t="shared" si="9"/>
        <v>47</v>
      </c>
      <c r="J140" s="40">
        <f t="shared" si="10"/>
        <v>1393</v>
      </c>
      <c r="K140" s="34">
        <f t="shared" si="13"/>
        <v>13.93</v>
      </c>
      <c r="L140" s="34">
        <f t="shared" si="14"/>
        <v>13.9</v>
      </c>
      <c r="M140" s="34">
        <f t="shared" si="15"/>
        <v>1390</v>
      </c>
      <c r="N140" s="35">
        <v>1390</v>
      </c>
      <c r="O140" s="36">
        <f t="shared" si="11"/>
        <v>1.0474755086661642</v>
      </c>
    </row>
    <row r="141" spans="1:15" ht="16.95" customHeight="1">
      <c r="A141" s="25">
        <v>113</v>
      </c>
      <c r="B141" s="37" t="s">
        <v>209</v>
      </c>
      <c r="C141" s="38" t="s">
        <v>210</v>
      </c>
      <c r="D141" s="28">
        <v>1807</v>
      </c>
      <c r="E141" s="39">
        <f t="shared" si="16"/>
        <v>1880</v>
      </c>
      <c r="F141" s="350">
        <f t="shared" si="17"/>
        <v>73</v>
      </c>
      <c r="G141" s="31">
        <v>1.0364</v>
      </c>
      <c r="H141" s="34">
        <f t="shared" si="12"/>
        <v>1948</v>
      </c>
      <c r="I141" s="34">
        <f t="shared" si="9"/>
        <v>68</v>
      </c>
      <c r="J141" s="40">
        <f t="shared" si="10"/>
        <v>2045</v>
      </c>
      <c r="K141" s="34">
        <f t="shared" si="13"/>
        <v>20.45</v>
      </c>
      <c r="L141" s="34">
        <f t="shared" si="14"/>
        <v>20.5</v>
      </c>
      <c r="M141" s="34">
        <f t="shared" si="15"/>
        <v>2050</v>
      </c>
      <c r="N141" s="35">
        <v>2050</v>
      </c>
      <c r="O141" s="36">
        <f t="shared" si="11"/>
        <v>1.0523613963039014</v>
      </c>
    </row>
    <row r="142" spans="1:15" ht="16.95" customHeight="1">
      <c r="A142" s="25">
        <v>114</v>
      </c>
      <c r="B142" s="37" t="s">
        <v>211</v>
      </c>
      <c r="C142" s="38" t="s">
        <v>212</v>
      </c>
      <c r="D142" s="28">
        <v>602</v>
      </c>
      <c r="E142" s="39">
        <f t="shared" si="16"/>
        <v>630</v>
      </c>
      <c r="F142" s="350">
        <f t="shared" si="17"/>
        <v>28</v>
      </c>
      <c r="G142" s="31">
        <v>1.0364</v>
      </c>
      <c r="H142" s="34">
        <f t="shared" si="12"/>
        <v>653</v>
      </c>
      <c r="I142" s="34">
        <f t="shared" si="9"/>
        <v>23</v>
      </c>
      <c r="J142" s="40">
        <f t="shared" si="10"/>
        <v>686</v>
      </c>
      <c r="K142" s="34">
        <f t="shared" si="13"/>
        <v>6.86</v>
      </c>
      <c r="L142" s="34">
        <f t="shared" si="14"/>
        <v>6.9</v>
      </c>
      <c r="M142" s="34">
        <f t="shared" si="15"/>
        <v>690</v>
      </c>
      <c r="N142" s="35">
        <v>690</v>
      </c>
      <c r="O142" s="36">
        <f t="shared" si="11"/>
        <v>1.0566615620214395</v>
      </c>
    </row>
    <row r="143" spans="1:15" ht="16.95" customHeight="1">
      <c r="A143" s="25">
        <v>115</v>
      </c>
      <c r="B143" s="37" t="s">
        <v>213</v>
      </c>
      <c r="C143" s="38" t="s">
        <v>214</v>
      </c>
      <c r="D143" s="28">
        <v>749</v>
      </c>
      <c r="E143" s="39">
        <f t="shared" si="16"/>
        <v>780</v>
      </c>
      <c r="F143" s="350">
        <f t="shared" si="17"/>
        <v>31</v>
      </c>
      <c r="G143" s="31">
        <v>1.0364</v>
      </c>
      <c r="H143" s="34">
        <f t="shared" si="12"/>
        <v>808</v>
      </c>
      <c r="I143" s="34">
        <f t="shared" si="9"/>
        <v>28</v>
      </c>
      <c r="J143" s="40">
        <f t="shared" si="10"/>
        <v>848</v>
      </c>
      <c r="K143" s="34">
        <f t="shared" si="13"/>
        <v>8.48</v>
      </c>
      <c r="L143" s="34">
        <f t="shared" si="14"/>
        <v>8.5</v>
      </c>
      <c r="M143" s="34">
        <f t="shared" si="15"/>
        <v>850</v>
      </c>
      <c r="N143" s="35">
        <v>850</v>
      </c>
      <c r="O143" s="36">
        <f t="shared" si="11"/>
        <v>1.051980198019802</v>
      </c>
    </row>
    <row r="144" spans="1:15" ht="16.95" customHeight="1">
      <c r="A144" s="25">
        <v>116</v>
      </c>
      <c r="B144" s="37" t="s">
        <v>215</v>
      </c>
      <c r="C144" s="38" t="s">
        <v>216</v>
      </c>
      <c r="D144" s="28">
        <v>1351</v>
      </c>
      <c r="E144" s="39">
        <f t="shared" si="16"/>
        <v>1410</v>
      </c>
      <c r="F144" s="350">
        <f t="shared" si="17"/>
        <v>59</v>
      </c>
      <c r="G144" s="31">
        <v>1.0364</v>
      </c>
      <c r="H144" s="34">
        <f t="shared" si="12"/>
        <v>1461</v>
      </c>
      <c r="I144" s="34">
        <f t="shared" si="9"/>
        <v>51</v>
      </c>
      <c r="J144" s="40">
        <f t="shared" si="10"/>
        <v>1534</v>
      </c>
      <c r="K144" s="34">
        <f t="shared" si="13"/>
        <v>15.34</v>
      </c>
      <c r="L144" s="34">
        <f t="shared" si="14"/>
        <v>15.3</v>
      </c>
      <c r="M144" s="34">
        <f t="shared" si="15"/>
        <v>1530</v>
      </c>
      <c r="N144" s="35">
        <v>1530</v>
      </c>
      <c r="O144" s="36">
        <f t="shared" si="11"/>
        <v>1.0472279260780288</v>
      </c>
    </row>
    <row r="145" spans="1:15" ht="16.95" customHeight="1">
      <c r="A145" s="25">
        <v>117</v>
      </c>
      <c r="B145" s="37" t="s">
        <v>217</v>
      </c>
      <c r="C145" s="38" t="s">
        <v>218</v>
      </c>
      <c r="D145" s="28">
        <v>73</v>
      </c>
      <c r="E145" s="39">
        <f t="shared" si="16"/>
        <v>80</v>
      </c>
      <c r="F145" s="350">
        <f t="shared" si="17"/>
        <v>7</v>
      </c>
      <c r="G145" s="31">
        <v>1.0364</v>
      </c>
      <c r="H145" s="34">
        <f t="shared" si="12"/>
        <v>83</v>
      </c>
      <c r="I145" s="34">
        <f t="shared" si="9"/>
        <v>3</v>
      </c>
      <c r="J145" s="40">
        <f t="shared" si="10"/>
        <v>87</v>
      </c>
      <c r="K145" s="34">
        <f t="shared" si="13"/>
        <v>0.87</v>
      </c>
      <c r="L145" s="34">
        <f t="shared" si="14"/>
        <v>0.9</v>
      </c>
      <c r="M145" s="34">
        <f t="shared" si="15"/>
        <v>90</v>
      </c>
      <c r="N145" s="35">
        <v>90</v>
      </c>
      <c r="O145" s="36">
        <f t="shared" si="11"/>
        <v>1.0843373493975903</v>
      </c>
    </row>
    <row r="146" spans="1:15" ht="16.95" customHeight="1">
      <c r="A146" s="25">
        <v>118</v>
      </c>
      <c r="B146" s="37" t="s">
        <v>219</v>
      </c>
      <c r="C146" s="38" t="s">
        <v>220</v>
      </c>
      <c r="D146" s="28">
        <v>612</v>
      </c>
      <c r="E146" s="39">
        <f t="shared" si="16"/>
        <v>640</v>
      </c>
      <c r="F146" s="350">
        <f t="shared" si="17"/>
        <v>28</v>
      </c>
      <c r="G146" s="31">
        <v>1.0364</v>
      </c>
      <c r="H146" s="34">
        <f t="shared" si="12"/>
        <v>663</v>
      </c>
      <c r="I146" s="34">
        <f t="shared" si="9"/>
        <v>23</v>
      </c>
      <c r="J146" s="40">
        <f t="shared" si="10"/>
        <v>696</v>
      </c>
      <c r="K146" s="34">
        <f t="shared" si="13"/>
        <v>6.96</v>
      </c>
      <c r="L146" s="34">
        <f t="shared" si="14"/>
        <v>7</v>
      </c>
      <c r="M146" s="34">
        <f t="shared" si="15"/>
        <v>700</v>
      </c>
      <c r="N146" s="35">
        <v>700</v>
      </c>
      <c r="O146" s="36">
        <f t="shared" si="11"/>
        <v>1.0558069381598794</v>
      </c>
    </row>
    <row r="147" spans="1:15" ht="16.95" customHeight="1">
      <c r="A147" s="25">
        <v>119</v>
      </c>
      <c r="B147" s="37" t="s">
        <v>221</v>
      </c>
      <c r="C147" s="38" t="s">
        <v>222</v>
      </c>
      <c r="D147" s="28">
        <v>612</v>
      </c>
      <c r="E147" s="39">
        <f t="shared" si="16"/>
        <v>640</v>
      </c>
      <c r="F147" s="350">
        <f t="shared" si="17"/>
        <v>28</v>
      </c>
      <c r="G147" s="31">
        <v>1.0364</v>
      </c>
      <c r="H147" s="34">
        <f t="shared" si="12"/>
        <v>663</v>
      </c>
      <c r="I147" s="34">
        <f t="shared" si="9"/>
        <v>23</v>
      </c>
      <c r="J147" s="40">
        <f t="shared" si="10"/>
        <v>696</v>
      </c>
      <c r="K147" s="34">
        <f t="shared" si="13"/>
        <v>6.96</v>
      </c>
      <c r="L147" s="34">
        <f t="shared" si="14"/>
        <v>7</v>
      </c>
      <c r="M147" s="34">
        <f t="shared" si="15"/>
        <v>700</v>
      </c>
      <c r="N147" s="35">
        <v>700</v>
      </c>
      <c r="O147" s="36">
        <f t="shared" si="11"/>
        <v>1.0558069381598794</v>
      </c>
    </row>
    <row r="148" spans="1:15" ht="16.95" customHeight="1">
      <c r="A148" s="25">
        <v>120</v>
      </c>
      <c r="B148" s="37" t="s">
        <v>223</v>
      </c>
      <c r="C148" s="38" t="s">
        <v>224</v>
      </c>
      <c r="D148" s="28">
        <v>1204</v>
      </c>
      <c r="E148" s="39">
        <f t="shared" si="16"/>
        <v>1260</v>
      </c>
      <c r="F148" s="350">
        <f t="shared" si="17"/>
        <v>56</v>
      </c>
      <c r="G148" s="31">
        <v>1.0364</v>
      </c>
      <c r="H148" s="34">
        <f t="shared" si="12"/>
        <v>1306</v>
      </c>
      <c r="I148" s="34">
        <f t="shared" si="9"/>
        <v>46</v>
      </c>
      <c r="J148" s="40">
        <f t="shared" si="10"/>
        <v>1371</v>
      </c>
      <c r="K148" s="34">
        <f t="shared" si="13"/>
        <v>13.71</v>
      </c>
      <c r="L148" s="34">
        <f t="shared" si="14"/>
        <v>13.7</v>
      </c>
      <c r="M148" s="34">
        <f t="shared" si="15"/>
        <v>1370</v>
      </c>
      <c r="N148" s="35">
        <v>1370</v>
      </c>
      <c r="O148" s="36">
        <f t="shared" si="11"/>
        <v>1.0490045941807045</v>
      </c>
    </row>
    <row r="149" spans="1:15" ht="16.95" customHeight="1">
      <c r="A149" s="25">
        <v>121</v>
      </c>
      <c r="B149" s="37" t="s">
        <v>225</v>
      </c>
      <c r="C149" s="38" t="s">
        <v>226</v>
      </c>
      <c r="D149" s="28">
        <v>896</v>
      </c>
      <c r="E149" s="39">
        <f t="shared" si="16"/>
        <v>930</v>
      </c>
      <c r="F149" s="350">
        <f t="shared" si="17"/>
        <v>34</v>
      </c>
      <c r="G149" s="31">
        <v>1.0364</v>
      </c>
      <c r="H149" s="34">
        <f t="shared" si="12"/>
        <v>964</v>
      </c>
      <c r="I149" s="34">
        <f t="shared" si="9"/>
        <v>34</v>
      </c>
      <c r="J149" s="40">
        <f t="shared" si="10"/>
        <v>1012</v>
      </c>
      <c r="K149" s="34">
        <f t="shared" si="13"/>
        <v>10.119999999999999</v>
      </c>
      <c r="L149" s="34">
        <f t="shared" si="14"/>
        <v>10.1</v>
      </c>
      <c r="M149" s="34">
        <f t="shared" si="15"/>
        <v>1010</v>
      </c>
      <c r="N149" s="35">
        <v>1010</v>
      </c>
      <c r="O149" s="36">
        <f t="shared" si="11"/>
        <v>1.0477178423236515</v>
      </c>
    </row>
    <row r="150" spans="1:15" ht="16.95" customHeight="1">
      <c r="A150" s="25">
        <v>122</v>
      </c>
      <c r="B150" s="37" t="s">
        <v>227</v>
      </c>
      <c r="C150" s="38" t="s">
        <v>228</v>
      </c>
      <c r="D150" s="28">
        <v>1909</v>
      </c>
      <c r="E150" s="39">
        <f t="shared" si="16"/>
        <v>1990</v>
      </c>
      <c r="F150" s="350">
        <f t="shared" si="17"/>
        <v>81</v>
      </c>
      <c r="G150" s="31">
        <v>1.0364</v>
      </c>
      <c r="H150" s="34">
        <f t="shared" si="12"/>
        <v>2062</v>
      </c>
      <c r="I150" s="34">
        <f t="shared" si="9"/>
        <v>72</v>
      </c>
      <c r="J150" s="40">
        <f t="shared" si="10"/>
        <v>2165</v>
      </c>
      <c r="K150" s="34">
        <f t="shared" si="13"/>
        <v>21.65</v>
      </c>
      <c r="L150" s="34">
        <f t="shared" si="14"/>
        <v>21.7</v>
      </c>
      <c r="M150" s="34">
        <f t="shared" si="15"/>
        <v>2170</v>
      </c>
      <c r="N150" s="35">
        <v>2170</v>
      </c>
      <c r="O150" s="36">
        <f t="shared" si="11"/>
        <v>1.0523763336566441</v>
      </c>
    </row>
    <row r="151" spans="1:15" ht="16.95" customHeight="1">
      <c r="A151" s="25">
        <v>123</v>
      </c>
      <c r="B151" s="37" t="s">
        <v>229</v>
      </c>
      <c r="C151" s="38" t="s">
        <v>230</v>
      </c>
      <c r="D151" s="28">
        <v>73</v>
      </c>
      <c r="E151" s="39">
        <f t="shared" si="16"/>
        <v>80</v>
      </c>
      <c r="F151" s="350">
        <f t="shared" si="17"/>
        <v>7</v>
      </c>
      <c r="G151" s="31">
        <v>1.0364</v>
      </c>
      <c r="H151" s="34">
        <f t="shared" si="12"/>
        <v>83</v>
      </c>
      <c r="I151" s="34">
        <f t="shared" si="9"/>
        <v>3</v>
      </c>
      <c r="J151" s="40">
        <f t="shared" si="10"/>
        <v>87</v>
      </c>
      <c r="K151" s="34">
        <f t="shared" si="13"/>
        <v>0.87</v>
      </c>
      <c r="L151" s="34">
        <f t="shared" si="14"/>
        <v>0.9</v>
      </c>
      <c r="M151" s="34">
        <f t="shared" si="15"/>
        <v>90</v>
      </c>
      <c r="N151" s="35">
        <v>90</v>
      </c>
      <c r="O151" s="36">
        <f t="shared" si="11"/>
        <v>1.0843373493975903</v>
      </c>
    </row>
    <row r="152" spans="1:15" ht="16.95" customHeight="1">
      <c r="A152" s="25">
        <v>124</v>
      </c>
      <c r="B152" s="37" t="s">
        <v>231</v>
      </c>
      <c r="C152" s="38" t="s">
        <v>232</v>
      </c>
      <c r="D152" s="28">
        <v>896</v>
      </c>
      <c r="E152" s="39">
        <f t="shared" si="16"/>
        <v>930</v>
      </c>
      <c r="F152" s="350">
        <f t="shared" si="17"/>
        <v>34</v>
      </c>
      <c r="G152" s="31">
        <v>1.0364</v>
      </c>
      <c r="H152" s="34">
        <f t="shared" si="12"/>
        <v>964</v>
      </c>
      <c r="I152" s="34">
        <f t="shared" si="9"/>
        <v>34</v>
      </c>
      <c r="J152" s="40">
        <f t="shared" si="10"/>
        <v>1012</v>
      </c>
      <c r="K152" s="34">
        <f t="shared" si="13"/>
        <v>10.119999999999999</v>
      </c>
      <c r="L152" s="34">
        <f t="shared" si="14"/>
        <v>10.1</v>
      </c>
      <c r="M152" s="34">
        <f t="shared" si="15"/>
        <v>1010</v>
      </c>
      <c r="N152" s="35">
        <v>1010</v>
      </c>
      <c r="O152" s="36">
        <f t="shared" si="11"/>
        <v>1.0477178423236515</v>
      </c>
    </row>
    <row r="153" spans="1:15" ht="16.95" customHeight="1">
      <c r="A153" s="25">
        <v>125</v>
      </c>
      <c r="B153" s="37" t="s">
        <v>233</v>
      </c>
      <c r="C153" s="38" t="s">
        <v>234</v>
      </c>
      <c r="D153" s="28">
        <v>73</v>
      </c>
      <c r="E153" s="39">
        <f t="shared" si="16"/>
        <v>80</v>
      </c>
      <c r="F153" s="350">
        <f t="shared" si="17"/>
        <v>7</v>
      </c>
      <c r="G153" s="31">
        <v>1.0364</v>
      </c>
      <c r="H153" s="34">
        <f t="shared" si="12"/>
        <v>83</v>
      </c>
      <c r="I153" s="34">
        <f t="shared" si="9"/>
        <v>3</v>
      </c>
      <c r="J153" s="40">
        <f t="shared" si="10"/>
        <v>87</v>
      </c>
      <c r="K153" s="34">
        <f t="shared" si="13"/>
        <v>0.87</v>
      </c>
      <c r="L153" s="34">
        <f t="shared" si="14"/>
        <v>0.9</v>
      </c>
      <c r="M153" s="34">
        <f t="shared" si="15"/>
        <v>90</v>
      </c>
      <c r="N153" s="35">
        <v>90</v>
      </c>
      <c r="O153" s="36">
        <f t="shared" si="11"/>
        <v>1.0843373493975903</v>
      </c>
    </row>
    <row r="154" spans="1:15" ht="16.95" customHeight="1">
      <c r="A154" s="25">
        <v>126</v>
      </c>
      <c r="B154" s="37" t="s">
        <v>235</v>
      </c>
      <c r="C154" s="38" t="s">
        <v>236</v>
      </c>
      <c r="D154" s="28">
        <v>1351</v>
      </c>
      <c r="E154" s="39">
        <f t="shared" si="16"/>
        <v>1410</v>
      </c>
      <c r="F154" s="350">
        <f t="shared" si="17"/>
        <v>59</v>
      </c>
      <c r="G154" s="31">
        <v>1.0364</v>
      </c>
      <c r="H154" s="34">
        <f t="shared" si="12"/>
        <v>1461</v>
      </c>
      <c r="I154" s="34">
        <f t="shared" si="9"/>
        <v>51</v>
      </c>
      <c r="J154" s="40">
        <f t="shared" si="10"/>
        <v>1534</v>
      </c>
      <c r="K154" s="34">
        <f t="shared" si="13"/>
        <v>15.34</v>
      </c>
      <c r="L154" s="34">
        <f t="shared" si="14"/>
        <v>15.3</v>
      </c>
      <c r="M154" s="34">
        <f t="shared" si="15"/>
        <v>1530</v>
      </c>
      <c r="N154" s="35">
        <v>1530</v>
      </c>
      <c r="O154" s="36">
        <f t="shared" si="11"/>
        <v>1.0472279260780288</v>
      </c>
    </row>
    <row r="155" spans="1:15" ht="16.95" customHeight="1">
      <c r="A155" s="25">
        <v>127</v>
      </c>
      <c r="B155" s="37" t="s">
        <v>237</v>
      </c>
      <c r="C155" s="38" t="s">
        <v>238</v>
      </c>
      <c r="D155" s="28">
        <v>10000</v>
      </c>
      <c r="E155" s="39">
        <f t="shared" si="16"/>
        <v>10430</v>
      </c>
      <c r="F155" s="350">
        <f t="shared" si="17"/>
        <v>430</v>
      </c>
      <c r="G155" s="31">
        <v>1.0364</v>
      </c>
      <c r="H155" s="34">
        <f t="shared" si="12"/>
        <v>10810</v>
      </c>
      <c r="I155" s="34">
        <f t="shared" ref="I155:I218" si="18">H155-E155</f>
        <v>380</v>
      </c>
      <c r="J155" s="40">
        <f t="shared" ref="J155:J218" si="19">ROUND(H155*1.05, 0)</f>
        <v>11351</v>
      </c>
      <c r="K155" s="34">
        <f t="shared" si="13"/>
        <v>113.51</v>
      </c>
      <c r="L155" s="34">
        <f t="shared" si="14"/>
        <v>113.5</v>
      </c>
      <c r="M155" s="34">
        <f t="shared" si="15"/>
        <v>11350</v>
      </c>
      <c r="N155" s="35">
        <v>11350</v>
      </c>
      <c r="O155" s="36">
        <f t="shared" ref="O155:O218" si="20">N155/H155</f>
        <v>1.0499537465309898</v>
      </c>
    </row>
    <row r="156" spans="1:15" ht="16.95" customHeight="1">
      <c r="A156" s="25">
        <v>128</v>
      </c>
      <c r="B156" s="37" t="s">
        <v>239</v>
      </c>
      <c r="C156" s="38" t="s">
        <v>240</v>
      </c>
      <c r="D156" s="28">
        <v>10000</v>
      </c>
      <c r="E156" s="39">
        <f t="shared" si="16"/>
        <v>10430</v>
      </c>
      <c r="F156" s="41">
        <f t="shared" si="17"/>
        <v>430</v>
      </c>
      <c r="G156" s="31">
        <v>1.0364</v>
      </c>
      <c r="H156" s="34">
        <f t="shared" ref="H156:H219" si="21">ROUND(E156*G156, 0)</f>
        <v>10810</v>
      </c>
      <c r="I156" s="34">
        <f t="shared" si="18"/>
        <v>380</v>
      </c>
      <c r="J156" s="40">
        <f t="shared" si="19"/>
        <v>11351</v>
      </c>
      <c r="K156" s="34">
        <f t="shared" ref="K156:K219" si="22">J156/100</f>
        <v>113.51</v>
      </c>
      <c r="L156" s="34">
        <f t="shared" ref="L156:L219" si="23">ROUND(K156,1)</f>
        <v>113.5</v>
      </c>
      <c r="M156" s="34">
        <f t="shared" ref="M156:M219" si="24">L156*100</f>
        <v>11350</v>
      </c>
      <c r="N156" s="35">
        <v>11350</v>
      </c>
      <c r="O156" s="36">
        <f t="shared" si="20"/>
        <v>1.0499537465309898</v>
      </c>
    </row>
    <row r="157" spans="1:15" ht="16.95" customHeight="1">
      <c r="A157" s="25">
        <v>129</v>
      </c>
      <c r="B157" s="37" t="s">
        <v>241</v>
      </c>
      <c r="C157" s="38" t="s">
        <v>242</v>
      </c>
      <c r="D157" s="28">
        <v>147</v>
      </c>
      <c r="E157" s="39">
        <f t="shared" si="16"/>
        <v>150</v>
      </c>
      <c r="F157" s="350">
        <f t="shared" si="17"/>
        <v>3</v>
      </c>
      <c r="G157" s="31">
        <v>1.0364</v>
      </c>
      <c r="H157" s="34">
        <f t="shared" si="21"/>
        <v>155</v>
      </c>
      <c r="I157" s="34">
        <f t="shared" si="18"/>
        <v>5</v>
      </c>
      <c r="J157" s="40">
        <f t="shared" si="19"/>
        <v>163</v>
      </c>
      <c r="K157" s="34">
        <f t="shared" si="22"/>
        <v>1.63</v>
      </c>
      <c r="L157" s="34">
        <f t="shared" si="23"/>
        <v>1.6</v>
      </c>
      <c r="M157" s="34">
        <f t="shared" si="24"/>
        <v>160</v>
      </c>
      <c r="N157" s="35">
        <v>160</v>
      </c>
      <c r="O157" s="36">
        <f t="shared" si="20"/>
        <v>1.032258064516129</v>
      </c>
    </row>
    <row r="158" spans="1:15" ht="16.95" customHeight="1">
      <c r="A158" s="25">
        <v>130</v>
      </c>
      <c r="B158" s="37" t="s">
        <v>243</v>
      </c>
      <c r="C158" s="38" t="s">
        <v>244</v>
      </c>
      <c r="D158" s="28">
        <v>5405</v>
      </c>
      <c r="E158" s="39">
        <f t="shared" si="16"/>
        <v>5640</v>
      </c>
      <c r="F158" s="350">
        <f t="shared" si="17"/>
        <v>235</v>
      </c>
      <c r="G158" s="31">
        <v>1.0364</v>
      </c>
      <c r="H158" s="34">
        <f t="shared" si="21"/>
        <v>5845</v>
      </c>
      <c r="I158" s="34">
        <f t="shared" si="18"/>
        <v>205</v>
      </c>
      <c r="J158" s="40">
        <f t="shared" si="19"/>
        <v>6137</v>
      </c>
      <c r="K158" s="34">
        <f t="shared" si="22"/>
        <v>61.37</v>
      </c>
      <c r="L158" s="34">
        <f t="shared" si="23"/>
        <v>61.4</v>
      </c>
      <c r="M158" s="34">
        <f t="shared" si="24"/>
        <v>6140</v>
      </c>
      <c r="N158" s="35">
        <v>6140</v>
      </c>
      <c r="O158" s="36">
        <f t="shared" si="20"/>
        <v>1.0504704875962361</v>
      </c>
    </row>
    <row r="159" spans="1:15" ht="16.95" customHeight="1">
      <c r="A159" s="25">
        <v>131</v>
      </c>
      <c r="B159" s="37" t="s">
        <v>245</v>
      </c>
      <c r="C159" s="38" t="s">
        <v>246</v>
      </c>
      <c r="D159" s="28">
        <v>896</v>
      </c>
      <c r="E159" s="39">
        <f t="shared" si="16"/>
        <v>930</v>
      </c>
      <c r="F159" s="350">
        <f t="shared" si="17"/>
        <v>34</v>
      </c>
      <c r="G159" s="31">
        <v>1.0364</v>
      </c>
      <c r="H159" s="34">
        <f t="shared" si="21"/>
        <v>964</v>
      </c>
      <c r="I159" s="34">
        <f t="shared" si="18"/>
        <v>34</v>
      </c>
      <c r="J159" s="40">
        <f t="shared" si="19"/>
        <v>1012</v>
      </c>
      <c r="K159" s="34">
        <f t="shared" si="22"/>
        <v>10.119999999999999</v>
      </c>
      <c r="L159" s="34">
        <f t="shared" si="23"/>
        <v>10.1</v>
      </c>
      <c r="M159" s="34">
        <f t="shared" si="24"/>
        <v>1010</v>
      </c>
      <c r="N159" s="35">
        <v>1010</v>
      </c>
      <c r="O159" s="36">
        <f t="shared" si="20"/>
        <v>1.0477178423236515</v>
      </c>
    </row>
    <row r="160" spans="1:15" ht="16.95" customHeight="1">
      <c r="A160" s="25">
        <v>132</v>
      </c>
      <c r="B160" s="37" t="s">
        <v>247</v>
      </c>
      <c r="C160" s="38" t="s">
        <v>248</v>
      </c>
      <c r="D160" s="28">
        <v>896</v>
      </c>
      <c r="E160" s="39">
        <f t="shared" si="16"/>
        <v>930</v>
      </c>
      <c r="F160" s="350">
        <f t="shared" si="17"/>
        <v>34</v>
      </c>
      <c r="G160" s="31">
        <v>1.0364</v>
      </c>
      <c r="H160" s="34">
        <f t="shared" si="21"/>
        <v>964</v>
      </c>
      <c r="I160" s="34">
        <f t="shared" si="18"/>
        <v>34</v>
      </c>
      <c r="J160" s="40">
        <f t="shared" si="19"/>
        <v>1012</v>
      </c>
      <c r="K160" s="34">
        <f t="shared" si="22"/>
        <v>10.119999999999999</v>
      </c>
      <c r="L160" s="34">
        <f t="shared" si="23"/>
        <v>10.1</v>
      </c>
      <c r="M160" s="34">
        <f t="shared" si="24"/>
        <v>1010</v>
      </c>
      <c r="N160" s="35">
        <v>1010</v>
      </c>
      <c r="O160" s="36">
        <f t="shared" si="20"/>
        <v>1.0477178423236515</v>
      </c>
    </row>
    <row r="161" spans="1:15" ht="16.95" customHeight="1">
      <c r="A161" s="25">
        <v>133</v>
      </c>
      <c r="B161" s="37" t="s">
        <v>249</v>
      </c>
      <c r="C161" s="38" t="s">
        <v>250</v>
      </c>
      <c r="D161" s="28">
        <v>896</v>
      </c>
      <c r="E161" s="39">
        <f t="shared" si="16"/>
        <v>930</v>
      </c>
      <c r="F161" s="350">
        <f t="shared" si="17"/>
        <v>34</v>
      </c>
      <c r="G161" s="31">
        <v>1.0364</v>
      </c>
      <c r="H161" s="34">
        <f t="shared" si="21"/>
        <v>964</v>
      </c>
      <c r="I161" s="34">
        <f t="shared" si="18"/>
        <v>34</v>
      </c>
      <c r="J161" s="40">
        <f t="shared" si="19"/>
        <v>1012</v>
      </c>
      <c r="K161" s="34">
        <f t="shared" si="22"/>
        <v>10.119999999999999</v>
      </c>
      <c r="L161" s="34">
        <f t="shared" si="23"/>
        <v>10.1</v>
      </c>
      <c r="M161" s="34">
        <f t="shared" si="24"/>
        <v>1010</v>
      </c>
      <c r="N161" s="35">
        <v>1010</v>
      </c>
      <c r="O161" s="36">
        <f t="shared" si="20"/>
        <v>1.0477178423236515</v>
      </c>
    </row>
    <row r="162" spans="1:15" ht="16.95" customHeight="1">
      <c r="A162" s="25">
        <v>134</v>
      </c>
      <c r="B162" s="37" t="s">
        <v>251</v>
      </c>
      <c r="C162" s="38" t="s">
        <v>252</v>
      </c>
      <c r="D162" s="28">
        <v>1836</v>
      </c>
      <c r="E162" s="39">
        <f t="shared" si="16"/>
        <v>1910</v>
      </c>
      <c r="F162" s="41">
        <f t="shared" si="17"/>
        <v>74</v>
      </c>
      <c r="G162" s="31">
        <v>1.0364</v>
      </c>
      <c r="H162" s="34">
        <f t="shared" si="21"/>
        <v>1980</v>
      </c>
      <c r="I162" s="34">
        <f t="shared" si="18"/>
        <v>70</v>
      </c>
      <c r="J162" s="40">
        <f t="shared" si="19"/>
        <v>2079</v>
      </c>
      <c r="K162" s="34">
        <f t="shared" si="22"/>
        <v>20.79</v>
      </c>
      <c r="L162" s="34">
        <f t="shared" si="23"/>
        <v>20.8</v>
      </c>
      <c r="M162" s="34">
        <f t="shared" si="24"/>
        <v>2080</v>
      </c>
      <c r="N162" s="35">
        <v>2080</v>
      </c>
      <c r="O162" s="36">
        <f t="shared" si="20"/>
        <v>1.0505050505050506</v>
      </c>
    </row>
    <row r="163" spans="1:15" ht="16.95" customHeight="1">
      <c r="A163" s="25">
        <v>135</v>
      </c>
      <c r="B163" s="37" t="s">
        <v>253</v>
      </c>
      <c r="C163" s="38" t="s">
        <v>254</v>
      </c>
      <c r="D163" s="28">
        <v>147</v>
      </c>
      <c r="E163" s="39">
        <f t="shared" si="16"/>
        <v>150</v>
      </c>
      <c r="F163" s="350">
        <f t="shared" si="17"/>
        <v>3</v>
      </c>
      <c r="G163" s="31">
        <v>1.0364</v>
      </c>
      <c r="H163" s="34">
        <f t="shared" si="21"/>
        <v>155</v>
      </c>
      <c r="I163" s="34">
        <f t="shared" si="18"/>
        <v>5</v>
      </c>
      <c r="J163" s="40">
        <f t="shared" si="19"/>
        <v>163</v>
      </c>
      <c r="K163" s="34">
        <f t="shared" si="22"/>
        <v>1.63</v>
      </c>
      <c r="L163" s="34">
        <f t="shared" si="23"/>
        <v>1.6</v>
      </c>
      <c r="M163" s="34">
        <f t="shared" si="24"/>
        <v>160</v>
      </c>
      <c r="N163" s="35">
        <v>160</v>
      </c>
      <c r="O163" s="36">
        <f t="shared" si="20"/>
        <v>1.032258064516129</v>
      </c>
    </row>
    <row r="164" spans="1:15" ht="16.95" customHeight="1">
      <c r="A164" s="25">
        <v>136</v>
      </c>
      <c r="B164" s="37" t="s">
        <v>255</v>
      </c>
      <c r="C164" s="38" t="s">
        <v>256</v>
      </c>
      <c r="D164" s="28">
        <v>896</v>
      </c>
      <c r="E164" s="39">
        <f t="shared" ref="E164:E227" si="25">ROUND(D164*1.043/10,0)*10</f>
        <v>930</v>
      </c>
      <c r="F164" s="350">
        <f t="shared" ref="F164:F227" si="26">E164-D164</f>
        <v>34</v>
      </c>
      <c r="G164" s="31">
        <v>1.0364</v>
      </c>
      <c r="H164" s="34">
        <f t="shared" si="21"/>
        <v>964</v>
      </c>
      <c r="I164" s="34">
        <f t="shared" si="18"/>
        <v>34</v>
      </c>
      <c r="J164" s="40">
        <f t="shared" si="19"/>
        <v>1012</v>
      </c>
      <c r="K164" s="34">
        <f t="shared" si="22"/>
        <v>10.119999999999999</v>
      </c>
      <c r="L164" s="34">
        <f t="shared" si="23"/>
        <v>10.1</v>
      </c>
      <c r="M164" s="34">
        <f t="shared" si="24"/>
        <v>1010</v>
      </c>
      <c r="N164" s="35">
        <v>1010</v>
      </c>
      <c r="O164" s="36">
        <f t="shared" si="20"/>
        <v>1.0477178423236515</v>
      </c>
    </row>
    <row r="165" spans="1:15" ht="16.95" customHeight="1">
      <c r="A165" s="25">
        <v>137</v>
      </c>
      <c r="B165" s="37" t="s">
        <v>257</v>
      </c>
      <c r="C165" s="38" t="s">
        <v>258</v>
      </c>
      <c r="D165" s="28">
        <v>1224</v>
      </c>
      <c r="E165" s="39">
        <f t="shared" si="25"/>
        <v>1280</v>
      </c>
      <c r="F165" s="350">
        <f t="shared" si="26"/>
        <v>56</v>
      </c>
      <c r="G165" s="31">
        <v>1.0364</v>
      </c>
      <c r="H165" s="34">
        <f t="shared" si="21"/>
        <v>1327</v>
      </c>
      <c r="I165" s="34">
        <f t="shared" si="18"/>
        <v>47</v>
      </c>
      <c r="J165" s="40">
        <f t="shared" si="19"/>
        <v>1393</v>
      </c>
      <c r="K165" s="34">
        <f t="shared" si="22"/>
        <v>13.93</v>
      </c>
      <c r="L165" s="34">
        <f t="shared" si="23"/>
        <v>13.9</v>
      </c>
      <c r="M165" s="34">
        <f t="shared" si="24"/>
        <v>1390</v>
      </c>
      <c r="N165" s="35">
        <v>1390</v>
      </c>
      <c r="O165" s="36">
        <f t="shared" si="20"/>
        <v>1.0474755086661642</v>
      </c>
    </row>
    <row r="166" spans="1:15" ht="16.95" customHeight="1">
      <c r="A166" s="25">
        <v>138</v>
      </c>
      <c r="B166" s="37" t="s">
        <v>259</v>
      </c>
      <c r="C166" s="38" t="s">
        <v>260</v>
      </c>
      <c r="D166" s="28">
        <v>1498</v>
      </c>
      <c r="E166" s="39">
        <f t="shared" si="25"/>
        <v>1560</v>
      </c>
      <c r="F166" s="350">
        <f t="shared" si="26"/>
        <v>62</v>
      </c>
      <c r="G166" s="31">
        <v>1.0364</v>
      </c>
      <c r="H166" s="34">
        <f t="shared" si="21"/>
        <v>1617</v>
      </c>
      <c r="I166" s="34">
        <f t="shared" si="18"/>
        <v>57</v>
      </c>
      <c r="J166" s="40">
        <f t="shared" si="19"/>
        <v>1698</v>
      </c>
      <c r="K166" s="34">
        <f t="shared" si="22"/>
        <v>16.98</v>
      </c>
      <c r="L166" s="34">
        <f t="shared" si="23"/>
        <v>17</v>
      </c>
      <c r="M166" s="34">
        <f t="shared" si="24"/>
        <v>1700</v>
      </c>
      <c r="N166" s="35">
        <v>1700</v>
      </c>
      <c r="O166" s="36">
        <f t="shared" si="20"/>
        <v>1.0513296227581941</v>
      </c>
    </row>
    <row r="167" spans="1:15" ht="16.95" customHeight="1">
      <c r="A167" s="25">
        <v>139</v>
      </c>
      <c r="B167" s="37" t="s">
        <v>261</v>
      </c>
      <c r="C167" s="38" t="s">
        <v>262</v>
      </c>
      <c r="D167" s="28">
        <v>1204</v>
      </c>
      <c r="E167" s="39">
        <f t="shared" si="25"/>
        <v>1260</v>
      </c>
      <c r="F167" s="350">
        <f t="shared" si="26"/>
        <v>56</v>
      </c>
      <c r="G167" s="31">
        <v>1.0364</v>
      </c>
      <c r="H167" s="34">
        <f t="shared" si="21"/>
        <v>1306</v>
      </c>
      <c r="I167" s="34">
        <f t="shared" si="18"/>
        <v>46</v>
      </c>
      <c r="J167" s="40">
        <f t="shared" si="19"/>
        <v>1371</v>
      </c>
      <c r="K167" s="34">
        <f t="shared" si="22"/>
        <v>13.71</v>
      </c>
      <c r="L167" s="34">
        <f t="shared" si="23"/>
        <v>13.7</v>
      </c>
      <c r="M167" s="34">
        <f t="shared" si="24"/>
        <v>1370</v>
      </c>
      <c r="N167" s="35">
        <v>1370</v>
      </c>
      <c r="O167" s="36">
        <f t="shared" si="20"/>
        <v>1.0490045941807045</v>
      </c>
    </row>
    <row r="168" spans="1:15" ht="16.95" customHeight="1">
      <c r="A168" s="25">
        <v>140</v>
      </c>
      <c r="B168" s="37" t="s">
        <v>263</v>
      </c>
      <c r="C168" s="38" t="s">
        <v>264</v>
      </c>
      <c r="D168" s="28">
        <v>4495</v>
      </c>
      <c r="E168" s="39">
        <f t="shared" si="25"/>
        <v>4690</v>
      </c>
      <c r="F168" s="350">
        <f t="shared" si="26"/>
        <v>195</v>
      </c>
      <c r="G168" s="31">
        <v>1.0364</v>
      </c>
      <c r="H168" s="34">
        <f t="shared" si="21"/>
        <v>4861</v>
      </c>
      <c r="I168" s="34">
        <f t="shared" si="18"/>
        <v>171</v>
      </c>
      <c r="J168" s="40">
        <f t="shared" si="19"/>
        <v>5104</v>
      </c>
      <c r="K168" s="34">
        <f t="shared" si="22"/>
        <v>51.04</v>
      </c>
      <c r="L168" s="34">
        <f t="shared" si="23"/>
        <v>51</v>
      </c>
      <c r="M168" s="34">
        <f t="shared" si="24"/>
        <v>5100</v>
      </c>
      <c r="N168" s="35">
        <v>5100</v>
      </c>
      <c r="O168" s="36">
        <f t="shared" si="20"/>
        <v>1.0491668380991566</v>
      </c>
    </row>
    <row r="169" spans="1:15" ht="16.95" customHeight="1">
      <c r="A169" s="25">
        <v>141</v>
      </c>
      <c r="B169" s="37" t="s">
        <v>265</v>
      </c>
      <c r="C169" s="38" t="s">
        <v>266</v>
      </c>
      <c r="D169" s="28">
        <v>896</v>
      </c>
      <c r="E169" s="39">
        <f t="shared" si="25"/>
        <v>930</v>
      </c>
      <c r="F169" s="350">
        <f t="shared" si="26"/>
        <v>34</v>
      </c>
      <c r="G169" s="31">
        <v>1.0364</v>
      </c>
      <c r="H169" s="34">
        <f t="shared" si="21"/>
        <v>964</v>
      </c>
      <c r="I169" s="34">
        <f t="shared" si="18"/>
        <v>34</v>
      </c>
      <c r="J169" s="40">
        <f t="shared" si="19"/>
        <v>1012</v>
      </c>
      <c r="K169" s="34">
        <f t="shared" si="22"/>
        <v>10.119999999999999</v>
      </c>
      <c r="L169" s="34">
        <f t="shared" si="23"/>
        <v>10.1</v>
      </c>
      <c r="M169" s="34">
        <f t="shared" si="24"/>
        <v>1010</v>
      </c>
      <c r="N169" s="35">
        <v>1010</v>
      </c>
      <c r="O169" s="36">
        <f t="shared" si="20"/>
        <v>1.0477178423236515</v>
      </c>
    </row>
    <row r="170" spans="1:15" ht="16.95" customHeight="1">
      <c r="A170" s="25">
        <v>142</v>
      </c>
      <c r="B170" s="37" t="s">
        <v>267</v>
      </c>
      <c r="C170" s="38" t="s">
        <v>268</v>
      </c>
      <c r="D170" s="28">
        <v>602</v>
      </c>
      <c r="E170" s="39">
        <f t="shared" si="25"/>
        <v>630</v>
      </c>
      <c r="F170" s="350">
        <f t="shared" si="26"/>
        <v>28</v>
      </c>
      <c r="G170" s="31">
        <v>1.0364</v>
      </c>
      <c r="H170" s="34">
        <f t="shared" si="21"/>
        <v>653</v>
      </c>
      <c r="I170" s="34">
        <f t="shared" si="18"/>
        <v>23</v>
      </c>
      <c r="J170" s="40">
        <f t="shared" si="19"/>
        <v>686</v>
      </c>
      <c r="K170" s="34">
        <f t="shared" si="22"/>
        <v>6.86</v>
      </c>
      <c r="L170" s="34">
        <f t="shared" si="23"/>
        <v>6.9</v>
      </c>
      <c r="M170" s="34">
        <f t="shared" si="24"/>
        <v>690</v>
      </c>
      <c r="N170" s="35">
        <v>690</v>
      </c>
      <c r="O170" s="36">
        <f t="shared" si="20"/>
        <v>1.0566615620214395</v>
      </c>
    </row>
    <row r="171" spans="1:15" ht="16.95" customHeight="1">
      <c r="A171" s="25">
        <v>143</v>
      </c>
      <c r="B171" s="37" t="s">
        <v>269</v>
      </c>
      <c r="C171" s="38" t="s">
        <v>270</v>
      </c>
      <c r="D171" s="28">
        <v>73</v>
      </c>
      <c r="E171" s="39">
        <f t="shared" si="25"/>
        <v>80</v>
      </c>
      <c r="F171" s="350">
        <f t="shared" si="26"/>
        <v>7</v>
      </c>
      <c r="G171" s="31">
        <v>1.0364</v>
      </c>
      <c r="H171" s="34">
        <f t="shared" si="21"/>
        <v>83</v>
      </c>
      <c r="I171" s="34">
        <f t="shared" si="18"/>
        <v>3</v>
      </c>
      <c r="J171" s="40">
        <f t="shared" si="19"/>
        <v>87</v>
      </c>
      <c r="K171" s="34">
        <f t="shared" si="22"/>
        <v>0.87</v>
      </c>
      <c r="L171" s="34">
        <f t="shared" si="23"/>
        <v>0.9</v>
      </c>
      <c r="M171" s="34">
        <f t="shared" si="24"/>
        <v>90</v>
      </c>
      <c r="N171" s="35">
        <v>90</v>
      </c>
      <c r="O171" s="36">
        <f t="shared" si="20"/>
        <v>1.0843373493975903</v>
      </c>
    </row>
    <row r="172" spans="1:15" ht="16.95" customHeight="1">
      <c r="A172" s="25">
        <v>144</v>
      </c>
      <c r="B172" s="37" t="s">
        <v>271</v>
      </c>
      <c r="C172" s="38" t="s">
        <v>272</v>
      </c>
      <c r="D172" s="28">
        <v>294</v>
      </c>
      <c r="E172" s="39">
        <f t="shared" si="25"/>
        <v>310</v>
      </c>
      <c r="F172" s="350">
        <f t="shared" si="26"/>
        <v>16</v>
      </c>
      <c r="G172" s="31">
        <v>1.0364</v>
      </c>
      <c r="H172" s="34">
        <f t="shared" si="21"/>
        <v>321</v>
      </c>
      <c r="I172" s="34">
        <f t="shared" si="18"/>
        <v>11</v>
      </c>
      <c r="J172" s="40">
        <f t="shared" si="19"/>
        <v>337</v>
      </c>
      <c r="K172" s="34">
        <f t="shared" si="22"/>
        <v>3.37</v>
      </c>
      <c r="L172" s="34">
        <f t="shared" si="23"/>
        <v>3.4</v>
      </c>
      <c r="M172" s="34">
        <f t="shared" si="24"/>
        <v>340</v>
      </c>
      <c r="N172" s="35">
        <v>340</v>
      </c>
      <c r="O172" s="36">
        <f t="shared" si="20"/>
        <v>1.0591900311526479</v>
      </c>
    </row>
    <row r="173" spans="1:15" ht="16.95" customHeight="1">
      <c r="A173" s="25">
        <v>145</v>
      </c>
      <c r="B173" s="37" t="s">
        <v>273</v>
      </c>
      <c r="C173" s="38" t="s">
        <v>274</v>
      </c>
      <c r="D173" s="28">
        <v>294</v>
      </c>
      <c r="E173" s="39">
        <f t="shared" si="25"/>
        <v>310</v>
      </c>
      <c r="F173" s="350">
        <f t="shared" si="26"/>
        <v>16</v>
      </c>
      <c r="G173" s="31">
        <v>1.0364</v>
      </c>
      <c r="H173" s="34">
        <f t="shared" si="21"/>
        <v>321</v>
      </c>
      <c r="I173" s="34">
        <f t="shared" si="18"/>
        <v>11</v>
      </c>
      <c r="J173" s="40">
        <f t="shared" si="19"/>
        <v>337</v>
      </c>
      <c r="K173" s="34">
        <f t="shared" si="22"/>
        <v>3.37</v>
      </c>
      <c r="L173" s="34">
        <f t="shared" si="23"/>
        <v>3.4</v>
      </c>
      <c r="M173" s="34">
        <f t="shared" si="24"/>
        <v>340</v>
      </c>
      <c r="N173" s="35">
        <v>340</v>
      </c>
      <c r="O173" s="36">
        <f t="shared" si="20"/>
        <v>1.0591900311526479</v>
      </c>
    </row>
    <row r="174" spans="1:15" ht="16.95" customHeight="1">
      <c r="A174" s="25">
        <v>146</v>
      </c>
      <c r="B174" s="37" t="s">
        <v>275</v>
      </c>
      <c r="C174" s="38" t="s">
        <v>276</v>
      </c>
      <c r="D174" s="28">
        <v>294</v>
      </c>
      <c r="E174" s="39">
        <f t="shared" si="25"/>
        <v>310</v>
      </c>
      <c r="F174" s="350">
        <f t="shared" si="26"/>
        <v>16</v>
      </c>
      <c r="G174" s="31">
        <v>1.0364</v>
      </c>
      <c r="H174" s="34">
        <f t="shared" si="21"/>
        <v>321</v>
      </c>
      <c r="I174" s="34">
        <f t="shared" si="18"/>
        <v>11</v>
      </c>
      <c r="J174" s="40">
        <f t="shared" si="19"/>
        <v>337</v>
      </c>
      <c r="K174" s="34">
        <f t="shared" si="22"/>
        <v>3.37</v>
      </c>
      <c r="L174" s="34">
        <f t="shared" si="23"/>
        <v>3.4</v>
      </c>
      <c r="M174" s="34">
        <f t="shared" si="24"/>
        <v>340</v>
      </c>
      <c r="N174" s="35">
        <v>340</v>
      </c>
      <c r="O174" s="36">
        <f t="shared" si="20"/>
        <v>1.0591900311526479</v>
      </c>
    </row>
    <row r="175" spans="1:15" ht="16.95" customHeight="1">
      <c r="A175" s="25">
        <v>147</v>
      </c>
      <c r="B175" s="37" t="s">
        <v>277</v>
      </c>
      <c r="C175" s="38" t="s">
        <v>278</v>
      </c>
      <c r="D175" s="28">
        <v>428</v>
      </c>
      <c r="E175" s="39">
        <f t="shared" si="25"/>
        <v>450</v>
      </c>
      <c r="F175" s="350">
        <f t="shared" si="26"/>
        <v>22</v>
      </c>
      <c r="G175" s="31">
        <v>1.0364</v>
      </c>
      <c r="H175" s="34">
        <f t="shared" si="21"/>
        <v>466</v>
      </c>
      <c r="I175" s="34">
        <f t="shared" si="18"/>
        <v>16</v>
      </c>
      <c r="J175" s="40">
        <f t="shared" si="19"/>
        <v>489</v>
      </c>
      <c r="K175" s="34">
        <f t="shared" si="22"/>
        <v>4.8899999999999997</v>
      </c>
      <c r="L175" s="34">
        <f t="shared" si="23"/>
        <v>4.9000000000000004</v>
      </c>
      <c r="M175" s="34">
        <f t="shared" si="24"/>
        <v>490.00000000000006</v>
      </c>
      <c r="N175" s="35">
        <v>490.00000000000006</v>
      </c>
      <c r="O175" s="36">
        <f t="shared" si="20"/>
        <v>1.0515021459227469</v>
      </c>
    </row>
    <row r="176" spans="1:15" ht="16.95" customHeight="1">
      <c r="A176" s="25">
        <v>148</v>
      </c>
      <c r="B176" s="37" t="s">
        <v>279</v>
      </c>
      <c r="C176" s="38" t="s">
        <v>280</v>
      </c>
      <c r="D176" s="28">
        <v>1126</v>
      </c>
      <c r="E176" s="39">
        <f t="shared" si="25"/>
        <v>1170</v>
      </c>
      <c r="F176" s="350">
        <f t="shared" si="26"/>
        <v>44</v>
      </c>
      <c r="G176" s="31">
        <v>1.0364</v>
      </c>
      <c r="H176" s="34">
        <f t="shared" si="21"/>
        <v>1213</v>
      </c>
      <c r="I176" s="34">
        <f t="shared" si="18"/>
        <v>43</v>
      </c>
      <c r="J176" s="40">
        <f t="shared" si="19"/>
        <v>1274</v>
      </c>
      <c r="K176" s="34">
        <f t="shared" si="22"/>
        <v>12.74</v>
      </c>
      <c r="L176" s="34">
        <f t="shared" si="23"/>
        <v>12.7</v>
      </c>
      <c r="M176" s="34">
        <f t="shared" si="24"/>
        <v>1270</v>
      </c>
      <c r="N176" s="35">
        <v>1270</v>
      </c>
      <c r="O176" s="36">
        <f t="shared" si="20"/>
        <v>1.0469909315746084</v>
      </c>
    </row>
    <row r="177" spans="1:15" ht="16.95" customHeight="1">
      <c r="A177" s="25">
        <v>149</v>
      </c>
      <c r="B177" s="37" t="s">
        <v>281</v>
      </c>
      <c r="C177" s="38" t="s">
        <v>282</v>
      </c>
      <c r="D177" s="28">
        <v>2203</v>
      </c>
      <c r="E177" s="39">
        <f t="shared" si="25"/>
        <v>2300</v>
      </c>
      <c r="F177" s="350">
        <f t="shared" si="26"/>
        <v>97</v>
      </c>
      <c r="G177" s="31">
        <v>1.0364</v>
      </c>
      <c r="H177" s="34">
        <f t="shared" si="21"/>
        <v>2384</v>
      </c>
      <c r="I177" s="34">
        <f t="shared" si="18"/>
        <v>84</v>
      </c>
      <c r="J177" s="40">
        <f t="shared" si="19"/>
        <v>2503</v>
      </c>
      <c r="K177" s="34">
        <f t="shared" si="22"/>
        <v>25.03</v>
      </c>
      <c r="L177" s="34">
        <f t="shared" si="23"/>
        <v>25</v>
      </c>
      <c r="M177" s="34">
        <f t="shared" si="24"/>
        <v>2500</v>
      </c>
      <c r="N177" s="35">
        <v>2500</v>
      </c>
      <c r="O177" s="36">
        <f t="shared" si="20"/>
        <v>1.0486577181208054</v>
      </c>
    </row>
    <row r="178" spans="1:15" ht="16.95" customHeight="1">
      <c r="A178" s="25">
        <v>150</v>
      </c>
      <c r="B178" s="37" t="s">
        <v>283</v>
      </c>
      <c r="C178" s="38" t="s">
        <v>284</v>
      </c>
      <c r="D178" s="28">
        <v>1204</v>
      </c>
      <c r="E178" s="39">
        <f t="shared" si="25"/>
        <v>1260</v>
      </c>
      <c r="F178" s="350">
        <f t="shared" si="26"/>
        <v>56</v>
      </c>
      <c r="G178" s="31">
        <v>1.0364</v>
      </c>
      <c r="H178" s="34">
        <f t="shared" si="21"/>
        <v>1306</v>
      </c>
      <c r="I178" s="34">
        <f t="shared" si="18"/>
        <v>46</v>
      </c>
      <c r="J178" s="40">
        <f t="shared" si="19"/>
        <v>1371</v>
      </c>
      <c r="K178" s="34">
        <f t="shared" si="22"/>
        <v>13.71</v>
      </c>
      <c r="L178" s="34">
        <f t="shared" si="23"/>
        <v>13.7</v>
      </c>
      <c r="M178" s="34">
        <f t="shared" si="24"/>
        <v>1370</v>
      </c>
      <c r="N178" s="35">
        <v>1370</v>
      </c>
      <c r="O178" s="36">
        <f t="shared" si="20"/>
        <v>1.0490045941807045</v>
      </c>
    </row>
    <row r="179" spans="1:15" ht="16.95" customHeight="1">
      <c r="A179" s="25">
        <v>151</v>
      </c>
      <c r="B179" s="37" t="s">
        <v>285</v>
      </c>
      <c r="C179" s="38" t="s">
        <v>286</v>
      </c>
      <c r="D179" s="28">
        <v>1351</v>
      </c>
      <c r="E179" s="39">
        <f t="shared" si="25"/>
        <v>1410</v>
      </c>
      <c r="F179" s="350">
        <f t="shared" si="26"/>
        <v>59</v>
      </c>
      <c r="G179" s="31">
        <v>1.0364</v>
      </c>
      <c r="H179" s="34">
        <f t="shared" si="21"/>
        <v>1461</v>
      </c>
      <c r="I179" s="34">
        <f t="shared" si="18"/>
        <v>51</v>
      </c>
      <c r="J179" s="40">
        <f t="shared" si="19"/>
        <v>1534</v>
      </c>
      <c r="K179" s="34">
        <f t="shared" si="22"/>
        <v>15.34</v>
      </c>
      <c r="L179" s="34">
        <f t="shared" si="23"/>
        <v>15.3</v>
      </c>
      <c r="M179" s="34">
        <f t="shared" si="24"/>
        <v>1530</v>
      </c>
      <c r="N179" s="35">
        <v>1530</v>
      </c>
      <c r="O179" s="36">
        <f t="shared" si="20"/>
        <v>1.0472279260780288</v>
      </c>
    </row>
    <row r="180" spans="1:15" ht="16.95" customHeight="1">
      <c r="A180" s="25">
        <v>152</v>
      </c>
      <c r="B180" s="37" t="s">
        <v>287</v>
      </c>
      <c r="C180" s="38" t="s">
        <v>288</v>
      </c>
      <c r="D180" s="28">
        <v>2938</v>
      </c>
      <c r="E180" s="39">
        <f t="shared" si="25"/>
        <v>3060</v>
      </c>
      <c r="F180" s="350">
        <f t="shared" si="26"/>
        <v>122</v>
      </c>
      <c r="G180" s="31">
        <v>1.0364</v>
      </c>
      <c r="H180" s="34">
        <f t="shared" si="21"/>
        <v>3171</v>
      </c>
      <c r="I180" s="34">
        <f t="shared" si="18"/>
        <v>111</v>
      </c>
      <c r="J180" s="40">
        <f t="shared" si="19"/>
        <v>3330</v>
      </c>
      <c r="K180" s="34">
        <f t="shared" si="22"/>
        <v>33.299999999999997</v>
      </c>
      <c r="L180" s="34">
        <f t="shared" si="23"/>
        <v>33.299999999999997</v>
      </c>
      <c r="M180" s="34">
        <f t="shared" si="24"/>
        <v>3329.9999999999995</v>
      </c>
      <c r="N180" s="35">
        <v>3329.9999999999995</v>
      </c>
      <c r="O180" s="36">
        <f t="shared" si="20"/>
        <v>1.0501419110690633</v>
      </c>
    </row>
    <row r="181" spans="1:15" ht="16.95" customHeight="1">
      <c r="A181" s="25"/>
      <c r="B181" s="26"/>
      <c r="C181" s="27" t="s">
        <v>289</v>
      </c>
      <c r="D181" s="28"/>
      <c r="E181" s="29"/>
      <c r="F181" s="30"/>
      <c r="G181" s="31"/>
      <c r="H181" s="27"/>
      <c r="I181" s="27"/>
      <c r="J181" s="33"/>
      <c r="K181" s="34"/>
      <c r="L181" s="34"/>
      <c r="M181" s="27"/>
      <c r="N181" s="35"/>
      <c r="O181" s="36"/>
    </row>
    <row r="182" spans="1:15" s="46" customFormat="1" ht="16.95" customHeight="1">
      <c r="A182" s="43"/>
      <c r="B182" s="44"/>
      <c r="C182" s="45" t="s">
        <v>641</v>
      </c>
      <c r="D182" s="351"/>
      <c r="E182" s="352"/>
      <c r="F182" s="353"/>
      <c r="G182" s="31"/>
      <c r="H182" s="27"/>
      <c r="I182" s="27"/>
      <c r="J182" s="33"/>
      <c r="K182" s="34"/>
      <c r="L182" s="34"/>
      <c r="M182" s="27"/>
      <c r="N182" s="35"/>
      <c r="O182" s="36"/>
    </row>
    <row r="183" spans="1:15" ht="16.95" customHeight="1">
      <c r="A183" s="25">
        <v>153</v>
      </c>
      <c r="B183" s="37" t="s">
        <v>290</v>
      </c>
      <c r="C183" s="38" t="s">
        <v>291</v>
      </c>
      <c r="D183" s="28">
        <v>1939</v>
      </c>
      <c r="E183" s="39">
        <f t="shared" si="25"/>
        <v>2020</v>
      </c>
      <c r="F183" s="350">
        <f t="shared" si="26"/>
        <v>81</v>
      </c>
      <c r="G183" s="31">
        <v>1.0364</v>
      </c>
      <c r="H183" s="34">
        <f t="shared" si="21"/>
        <v>2094</v>
      </c>
      <c r="I183" s="34">
        <f t="shared" si="18"/>
        <v>74</v>
      </c>
      <c r="J183" s="40">
        <f t="shared" si="19"/>
        <v>2199</v>
      </c>
      <c r="K183" s="34">
        <f t="shared" si="22"/>
        <v>21.99</v>
      </c>
      <c r="L183" s="34">
        <f t="shared" si="23"/>
        <v>22</v>
      </c>
      <c r="M183" s="34">
        <f t="shared" si="24"/>
        <v>2200</v>
      </c>
      <c r="N183" s="35">
        <v>2200</v>
      </c>
      <c r="O183" s="36">
        <f t="shared" si="20"/>
        <v>1.0506208213944603</v>
      </c>
    </row>
    <row r="184" spans="1:15" ht="16.95" customHeight="1">
      <c r="A184" s="25">
        <v>154</v>
      </c>
      <c r="B184" s="37" t="s">
        <v>292</v>
      </c>
      <c r="C184" s="38" t="s">
        <v>293</v>
      </c>
      <c r="D184" s="28">
        <v>485</v>
      </c>
      <c r="E184" s="39">
        <f t="shared" si="25"/>
        <v>510</v>
      </c>
      <c r="F184" s="350">
        <f t="shared" si="26"/>
        <v>25</v>
      </c>
      <c r="G184" s="31">
        <v>1.0364</v>
      </c>
      <c r="H184" s="34">
        <f t="shared" si="21"/>
        <v>529</v>
      </c>
      <c r="I184" s="34">
        <f t="shared" si="18"/>
        <v>19</v>
      </c>
      <c r="J184" s="40">
        <f t="shared" si="19"/>
        <v>555</v>
      </c>
      <c r="K184" s="34">
        <f t="shared" si="22"/>
        <v>5.55</v>
      </c>
      <c r="L184" s="34">
        <f t="shared" si="23"/>
        <v>5.6</v>
      </c>
      <c r="M184" s="34">
        <f t="shared" si="24"/>
        <v>560</v>
      </c>
      <c r="N184" s="35">
        <v>560</v>
      </c>
      <c r="O184" s="36">
        <f t="shared" si="20"/>
        <v>1.0586011342155008</v>
      </c>
    </row>
    <row r="185" spans="1:15" ht="16.95" customHeight="1">
      <c r="A185" s="25">
        <v>155</v>
      </c>
      <c r="B185" s="37" t="s">
        <v>294</v>
      </c>
      <c r="C185" s="38" t="s">
        <v>295</v>
      </c>
      <c r="D185" s="28">
        <v>1939</v>
      </c>
      <c r="E185" s="39">
        <f t="shared" si="25"/>
        <v>2020</v>
      </c>
      <c r="F185" s="350">
        <f t="shared" si="26"/>
        <v>81</v>
      </c>
      <c r="G185" s="31">
        <v>1.0364</v>
      </c>
      <c r="H185" s="34">
        <f t="shared" si="21"/>
        <v>2094</v>
      </c>
      <c r="I185" s="34">
        <f t="shared" si="18"/>
        <v>74</v>
      </c>
      <c r="J185" s="40">
        <f t="shared" si="19"/>
        <v>2199</v>
      </c>
      <c r="K185" s="34">
        <f t="shared" si="22"/>
        <v>21.99</v>
      </c>
      <c r="L185" s="34">
        <f t="shared" si="23"/>
        <v>22</v>
      </c>
      <c r="M185" s="34">
        <f t="shared" si="24"/>
        <v>2200</v>
      </c>
      <c r="N185" s="35">
        <v>2200</v>
      </c>
      <c r="O185" s="36">
        <f t="shared" si="20"/>
        <v>1.0506208213944603</v>
      </c>
    </row>
    <row r="186" spans="1:15" ht="16.95" customHeight="1">
      <c r="A186" s="25">
        <v>156</v>
      </c>
      <c r="B186" s="37" t="s">
        <v>296</v>
      </c>
      <c r="C186" s="38" t="s">
        <v>297</v>
      </c>
      <c r="D186" s="28">
        <v>250</v>
      </c>
      <c r="E186" s="39">
        <f t="shared" si="25"/>
        <v>260</v>
      </c>
      <c r="F186" s="350">
        <f t="shared" si="26"/>
        <v>10</v>
      </c>
      <c r="G186" s="31">
        <v>1.0364</v>
      </c>
      <c r="H186" s="34">
        <f t="shared" si="21"/>
        <v>269</v>
      </c>
      <c r="I186" s="34">
        <f t="shared" si="18"/>
        <v>9</v>
      </c>
      <c r="J186" s="40">
        <f t="shared" si="19"/>
        <v>282</v>
      </c>
      <c r="K186" s="34">
        <f t="shared" si="22"/>
        <v>2.82</v>
      </c>
      <c r="L186" s="34">
        <f t="shared" si="23"/>
        <v>2.8</v>
      </c>
      <c r="M186" s="34">
        <f t="shared" si="24"/>
        <v>280</v>
      </c>
      <c r="N186" s="35">
        <v>280</v>
      </c>
      <c r="O186" s="36">
        <f t="shared" si="20"/>
        <v>1.0408921933085502</v>
      </c>
    </row>
    <row r="187" spans="1:15" ht="16.95" customHeight="1">
      <c r="A187" s="25">
        <v>157</v>
      </c>
      <c r="B187" s="37" t="s">
        <v>298</v>
      </c>
      <c r="C187" s="38" t="s">
        <v>299</v>
      </c>
      <c r="D187" s="28">
        <v>103</v>
      </c>
      <c r="E187" s="39">
        <f t="shared" si="25"/>
        <v>110</v>
      </c>
      <c r="F187" s="350">
        <f t="shared" si="26"/>
        <v>7</v>
      </c>
      <c r="G187" s="31">
        <v>1.0364</v>
      </c>
      <c r="H187" s="34">
        <f t="shared" si="21"/>
        <v>114</v>
      </c>
      <c r="I187" s="34">
        <f t="shared" si="18"/>
        <v>4</v>
      </c>
      <c r="J187" s="40">
        <f t="shared" si="19"/>
        <v>120</v>
      </c>
      <c r="K187" s="34">
        <f t="shared" si="22"/>
        <v>1.2</v>
      </c>
      <c r="L187" s="34">
        <f t="shared" si="23"/>
        <v>1.2</v>
      </c>
      <c r="M187" s="34">
        <f t="shared" si="24"/>
        <v>120</v>
      </c>
      <c r="N187" s="35">
        <v>120</v>
      </c>
      <c r="O187" s="36">
        <f t="shared" si="20"/>
        <v>1.0526315789473684</v>
      </c>
    </row>
    <row r="188" spans="1:15" ht="16.95" customHeight="1">
      <c r="A188" s="25">
        <v>158</v>
      </c>
      <c r="B188" s="37" t="s">
        <v>300</v>
      </c>
      <c r="C188" s="38" t="s">
        <v>301</v>
      </c>
      <c r="D188" s="28">
        <v>485</v>
      </c>
      <c r="E188" s="39">
        <f t="shared" si="25"/>
        <v>510</v>
      </c>
      <c r="F188" s="350">
        <f t="shared" si="26"/>
        <v>25</v>
      </c>
      <c r="G188" s="31">
        <v>1.0364</v>
      </c>
      <c r="H188" s="34">
        <f t="shared" si="21"/>
        <v>529</v>
      </c>
      <c r="I188" s="34">
        <f t="shared" si="18"/>
        <v>19</v>
      </c>
      <c r="J188" s="40">
        <f t="shared" si="19"/>
        <v>555</v>
      </c>
      <c r="K188" s="34">
        <f t="shared" si="22"/>
        <v>5.55</v>
      </c>
      <c r="L188" s="34">
        <f t="shared" si="23"/>
        <v>5.6</v>
      </c>
      <c r="M188" s="34">
        <f t="shared" si="24"/>
        <v>560</v>
      </c>
      <c r="N188" s="35">
        <v>560</v>
      </c>
      <c r="O188" s="36">
        <f t="shared" si="20"/>
        <v>1.0586011342155008</v>
      </c>
    </row>
    <row r="189" spans="1:15" ht="16.95" customHeight="1">
      <c r="A189" s="25">
        <v>159</v>
      </c>
      <c r="B189" s="37" t="s">
        <v>302</v>
      </c>
      <c r="C189" s="38" t="s">
        <v>303</v>
      </c>
      <c r="D189" s="28">
        <v>1212</v>
      </c>
      <c r="E189" s="39">
        <f t="shared" si="25"/>
        <v>1260</v>
      </c>
      <c r="F189" s="350">
        <f t="shared" si="26"/>
        <v>48</v>
      </c>
      <c r="G189" s="31">
        <v>1.0364</v>
      </c>
      <c r="H189" s="34">
        <f t="shared" si="21"/>
        <v>1306</v>
      </c>
      <c r="I189" s="34">
        <f t="shared" si="18"/>
        <v>46</v>
      </c>
      <c r="J189" s="40">
        <f t="shared" si="19"/>
        <v>1371</v>
      </c>
      <c r="K189" s="34">
        <f t="shared" si="22"/>
        <v>13.71</v>
      </c>
      <c r="L189" s="34">
        <f t="shared" si="23"/>
        <v>13.7</v>
      </c>
      <c r="M189" s="34">
        <f t="shared" si="24"/>
        <v>1370</v>
      </c>
      <c r="N189" s="35">
        <v>1370</v>
      </c>
      <c r="O189" s="36">
        <f t="shared" si="20"/>
        <v>1.0490045941807045</v>
      </c>
    </row>
    <row r="190" spans="1:15" ht="16.95" customHeight="1">
      <c r="A190" s="25">
        <v>160</v>
      </c>
      <c r="B190" s="37" t="s">
        <v>304</v>
      </c>
      <c r="C190" s="38" t="s">
        <v>305</v>
      </c>
      <c r="D190" s="28">
        <v>2908</v>
      </c>
      <c r="E190" s="39">
        <f t="shared" si="25"/>
        <v>3030</v>
      </c>
      <c r="F190" s="350">
        <f t="shared" si="26"/>
        <v>122</v>
      </c>
      <c r="G190" s="31">
        <v>1.0364</v>
      </c>
      <c r="H190" s="34">
        <f t="shared" si="21"/>
        <v>3140</v>
      </c>
      <c r="I190" s="34">
        <f t="shared" si="18"/>
        <v>110</v>
      </c>
      <c r="J190" s="40">
        <f t="shared" si="19"/>
        <v>3297</v>
      </c>
      <c r="K190" s="34">
        <f t="shared" si="22"/>
        <v>32.97</v>
      </c>
      <c r="L190" s="34">
        <f t="shared" si="23"/>
        <v>33</v>
      </c>
      <c r="M190" s="34">
        <f t="shared" si="24"/>
        <v>3300</v>
      </c>
      <c r="N190" s="35">
        <v>3300</v>
      </c>
      <c r="O190" s="36">
        <f t="shared" si="20"/>
        <v>1.0509554140127388</v>
      </c>
    </row>
    <row r="191" spans="1:15" ht="16.95" customHeight="1">
      <c r="A191" s="25">
        <v>161</v>
      </c>
      <c r="B191" s="37" t="s">
        <v>306</v>
      </c>
      <c r="C191" s="38" t="s">
        <v>307</v>
      </c>
      <c r="D191" s="28">
        <v>1212</v>
      </c>
      <c r="E191" s="39">
        <f t="shared" si="25"/>
        <v>1260</v>
      </c>
      <c r="F191" s="350">
        <f t="shared" si="26"/>
        <v>48</v>
      </c>
      <c r="G191" s="31">
        <v>1.0364</v>
      </c>
      <c r="H191" s="34">
        <f t="shared" si="21"/>
        <v>1306</v>
      </c>
      <c r="I191" s="34">
        <f t="shared" si="18"/>
        <v>46</v>
      </c>
      <c r="J191" s="40">
        <f t="shared" si="19"/>
        <v>1371</v>
      </c>
      <c r="K191" s="34">
        <f t="shared" si="22"/>
        <v>13.71</v>
      </c>
      <c r="L191" s="34">
        <f t="shared" si="23"/>
        <v>13.7</v>
      </c>
      <c r="M191" s="34">
        <f t="shared" si="24"/>
        <v>1370</v>
      </c>
      <c r="N191" s="35">
        <v>1370</v>
      </c>
      <c r="O191" s="36">
        <f t="shared" si="20"/>
        <v>1.0490045941807045</v>
      </c>
    </row>
    <row r="192" spans="1:15" ht="16.95" customHeight="1">
      <c r="A192" s="25">
        <v>162</v>
      </c>
      <c r="B192" s="37" t="s">
        <v>308</v>
      </c>
      <c r="C192" s="38" t="s">
        <v>309</v>
      </c>
      <c r="D192" s="28">
        <v>4406</v>
      </c>
      <c r="E192" s="39">
        <f t="shared" si="25"/>
        <v>4600</v>
      </c>
      <c r="F192" s="350">
        <f t="shared" si="26"/>
        <v>194</v>
      </c>
      <c r="G192" s="31">
        <v>1.0364</v>
      </c>
      <c r="H192" s="34">
        <f t="shared" si="21"/>
        <v>4767</v>
      </c>
      <c r="I192" s="34">
        <f t="shared" si="18"/>
        <v>167</v>
      </c>
      <c r="J192" s="40">
        <f t="shared" si="19"/>
        <v>5005</v>
      </c>
      <c r="K192" s="34">
        <f t="shared" si="22"/>
        <v>50.05</v>
      </c>
      <c r="L192" s="34">
        <f t="shared" si="23"/>
        <v>50.1</v>
      </c>
      <c r="M192" s="34">
        <f t="shared" si="24"/>
        <v>5010</v>
      </c>
      <c r="N192" s="35">
        <v>5010</v>
      </c>
      <c r="O192" s="36">
        <f t="shared" si="20"/>
        <v>1.0509754562617999</v>
      </c>
    </row>
    <row r="193" spans="1:15" ht="16.95" customHeight="1">
      <c r="A193" s="25">
        <v>163</v>
      </c>
      <c r="B193" s="37" t="s">
        <v>310</v>
      </c>
      <c r="C193" s="38" t="s">
        <v>311</v>
      </c>
      <c r="D193" s="28">
        <v>969</v>
      </c>
      <c r="E193" s="39">
        <f t="shared" si="25"/>
        <v>1010</v>
      </c>
      <c r="F193" s="350">
        <f t="shared" si="26"/>
        <v>41</v>
      </c>
      <c r="G193" s="31">
        <v>1.0364</v>
      </c>
      <c r="H193" s="34">
        <f t="shared" si="21"/>
        <v>1047</v>
      </c>
      <c r="I193" s="34">
        <f t="shared" si="18"/>
        <v>37</v>
      </c>
      <c r="J193" s="40">
        <f t="shared" si="19"/>
        <v>1099</v>
      </c>
      <c r="K193" s="34">
        <f t="shared" si="22"/>
        <v>10.99</v>
      </c>
      <c r="L193" s="34">
        <f t="shared" si="23"/>
        <v>11</v>
      </c>
      <c r="M193" s="34">
        <f t="shared" si="24"/>
        <v>1100</v>
      </c>
      <c r="N193" s="35">
        <v>1100</v>
      </c>
      <c r="O193" s="36">
        <f t="shared" si="20"/>
        <v>1.0506208213944603</v>
      </c>
    </row>
    <row r="194" spans="1:15" ht="16.95" customHeight="1">
      <c r="A194" s="25">
        <v>164</v>
      </c>
      <c r="B194" s="37" t="s">
        <v>312</v>
      </c>
      <c r="C194" s="38" t="s">
        <v>313</v>
      </c>
      <c r="D194" s="28">
        <v>969</v>
      </c>
      <c r="E194" s="39">
        <f t="shared" si="25"/>
        <v>1010</v>
      </c>
      <c r="F194" s="350">
        <f t="shared" si="26"/>
        <v>41</v>
      </c>
      <c r="G194" s="31">
        <v>1.0364</v>
      </c>
      <c r="H194" s="34">
        <f t="shared" si="21"/>
        <v>1047</v>
      </c>
      <c r="I194" s="34">
        <f t="shared" si="18"/>
        <v>37</v>
      </c>
      <c r="J194" s="40">
        <f t="shared" si="19"/>
        <v>1099</v>
      </c>
      <c r="K194" s="34">
        <f t="shared" si="22"/>
        <v>10.99</v>
      </c>
      <c r="L194" s="34">
        <f t="shared" si="23"/>
        <v>11</v>
      </c>
      <c r="M194" s="34">
        <f t="shared" si="24"/>
        <v>1100</v>
      </c>
      <c r="N194" s="35">
        <v>1100</v>
      </c>
      <c r="O194" s="36">
        <f t="shared" si="20"/>
        <v>1.0506208213944603</v>
      </c>
    </row>
    <row r="195" spans="1:15" ht="16.95" customHeight="1">
      <c r="A195" s="25">
        <v>165</v>
      </c>
      <c r="B195" s="37" t="s">
        <v>314</v>
      </c>
      <c r="C195" s="38" t="s">
        <v>315</v>
      </c>
      <c r="D195" s="28">
        <v>1454</v>
      </c>
      <c r="E195" s="39">
        <f t="shared" si="25"/>
        <v>1520</v>
      </c>
      <c r="F195" s="350">
        <f t="shared" si="26"/>
        <v>66</v>
      </c>
      <c r="G195" s="31">
        <v>1.0364</v>
      </c>
      <c r="H195" s="34">
        <f t="shared" si="21"/>
        <v>1575</v>
      </c>
      <c r="I195" s="34">
        <f t="shared" si="18"/>
        <v>55</v>
      </c>
      <c r="J195" s="40">
        <f t="shared" si="19"/>
        <v>1654</v>
      </c>
      <c r="K195" s="34">
        <f t="shared" si="22"/>
        <v>16.54</v>
      </c>
      <c r="L195" s="34">
        <f t="shared" si="23"/>
        <v>16.5</v>
      </c>
      <c r="M195" s="34">
        <f t="shared" si="24"/>
        <v>1650</v>
      </c>
      <c r="N195" s="35">
        <v>1650</v>
      </c>
      <c r="O195" s="36">
        <f t="shared" si="20"/>
        <v>1.0476190476190477</v>
      </c>
    </row>
    <row r="196" spans="1:15" ht="16.95" customHeight="1">
      <c r="A196" s="25">
        <v>166</v>
      </c>
      <c r="B196" s="37" t="s">
        <v>316</v>
      </c>
      <c r="C196" s="38" t="s">
        <v>317</v>
      </c>
      <c r="D196" s="28">
        <v>2908</v>
      </c>
      <c r="E196" s="39">
        <f t="shared" si="25"/>
        <v>3030</v>
      </c>
      <c r="F196" s="350">
        <f t="shared" si="26"/>
        <v>122</v>
      </c>
      <c r="G196" s="31">
        <v>1.0364</v>
      </c>
      <c r="H196" s="34">
        <f t="shared" si="21"/>
        <v>3140</v>
      </c>
      <c r="I196" s="34">
        <f t="shared" si="18"/>
        <v>110</v>
      </c>
      <c r="J196" s="40">
        <f t="shared" si="19"/>
        <v>3297</v>
      </c>
      <c r="K196" s="34">
        <f t="shared" si="22"/>
        <v>32.97</v>
      </c>
      <c r="L196" s="34">
        <f t="shared" si="23"/>
        <v>33</v>
      </c>
      <c r="M196" s="34">
        <f t="shared" si="24"/>
        <v>3300</v>
      </c>
      <c r="N196" s="35">
        <v>3300</v>
      </c>
      <c r="O196" s="36">
        <f t="shared" si="20"/>
        <v>1.0509554140127388</v>
      </c>
    </row>
    <row r="197" spans="1:15" ht="16.95" customHeight="1">
      <c r="A197" s="25">
        <v>167</v>
      </c>
      <c r="B197" s="37" t="s">
        <v>318</v>
      </c>
      <c r="C197" s="38" t="s">
        <v>319</v>
      </c>
      <c r="D197" s="28">
        <v>1939</v>
      </c>
      <c r="E197" s="39">
        <f t="shared" si="25"/>
        <v>2020</v>
      </c>
      <c r="F197" s="350">
        <f t="shared" si="26"/>
        <v>81</v>
      </c>
      <c r="G197" s="31">
        <v>1.0364</v>
      </c>
      <c r="H197" s="34">
        <f t="shared" si="21"/>
        <v>2094</v>
      </c>
      <c r="I197" s="34">
        <f t="shared" si="18"/>
        <v>74</v>
      </c>
      <c r="J197" s="40">
        <f t="shared" si="19"/>
        <v>2199</v>
      </c>
      <c r="K197" s="34">
        <f t="shared" si="22"/>
        <v>21.99</v>
      </c>
      <c r="L197" s="34">
        <f t="shared" si="23"/>
        <v>22</v>
      </c>
      <c r="M197" s="34">
        <f t="shared" si="24"/>
        <v>2200</v>
      </c>
      <c r="N197" s="35">
        <v>2200</v>
      </c>
      <c r="O197" s="36">
        <f t="shared" si="20"/>
        <v>1.0506208213944603</v>
      </c>
    </row>
    <row r="198" spans="1:15" ht="16.95" customHeight="1">
      <c r="A198" s="25">
        <v>168</v>
      </c>
      <c r="B198" s="37" t="s">
        <v>320</v>
      </c>
      <c r="C198" s="38" t="s">
        <v>321</v>
      </c>
      <c r="D198" s="28">
        <v>250</v>
      </c>
      <c r="E198" s="39">
        <f t="shared" si="25"/>
        <v>260</v>
      </c>
      <c r="F198" s="350">
        <f t="shared" si="26"/>
        <v>10</v>
      </c>
      <c r="G198" s="31">
        <v>1.0364</v>
      </c>
      <c r="H198" s="34">
        <f t="shared" si="21"/>
        <v>269</v>
      </c>
      <c r="I198" s="34">
        <f t="shared" si="18"/>
        <v>9</v>
      </c>
      <c r="J198" s="40">
        <f t="shared" si="19"/>
        <v>282</v>
      </c>
      <c r="K198" s="34">
        <f t="shared" si="22"/>
        <v>2.82</v>
      </c>
      <c r="L198" s="34">
        <f t="shared" si="23"/>
        <v>2.8</v>
      </c>
      <c r="M198" s="34">
        <f t="shared" si="24"/>
        <v>280</v>
      </c>
      <c r="N198" s="35">
        <v>280</v>
      </c>
      <c r="O198" s="36">
        <f t="shared" si="20"/>
        <v>1.0408921933085502</v>
      </c>
    </row>
    <row r="199" spans="1:15" ht="16.95" customHeight="1">
      <c r="A199" s="25">
        <v>169</v>
      </c>
      <c r="B199" s="37" t="s">
        <v>322</v>
      </c>
      <c r="C199" s="38" t="s">
        <v>323</v>
      </c>
      <c r="D199" s="28">
        <v>1939</v>
      </c>
      <c r="E199" s="39">
        <f t="shared" si="25"/>
        <v>2020</v>
      </c>
      <c r="F199" s="350">
        <f t="shared" si="26"/>
        <v>81</v>
      </c>
      <c r="G199" s="31">
        <v>1.0364</v>
      </c>
      <c r="H199" s="34">
        <f t="shared" si="21"/>
        <v>2094</v>
      </c>
      <c r="I199" s="34">
        <f t="shared" si="18"/>
        <v>74</v>
      </c>
      <c r="J199" s="40">
        <f t="shared" si="19"/>
        <v>2199</v>
      </c>
      <c r="K199" s="34">
        <f t="shared" si="22"/>
        <v>21.99</v>
      </c>
      <c r="L199" s="34">
        <f t="shared" si="23"/>
        <v>22</v>
      </c>
      <c r="M199" s="34">
        <f t="shared" si="24"/>
        <v>2200</v>
      </c>
      <c r="N199" s="35">
        <v>2200</v>
      </c>
      <c r="O199" s="36">
        <f t="shared" si="20"/>
        <v>1.0506208213944603</v>
      </c>
    </row>
    <row r="200" spans="1:15" ht="16.95" customHeight="1">
      <c r="A200" s="25">
        <v>170</v>
      </c>
      <c r="B200" s="37" t="s">
        <v>324</v>
      </c>
      <c r="C200" s="38" t="s">
        <v>325</v>
      </c>
      <c r="D200" s="28">
        <v>2908</v>
      </c>
      <c r="E200" s="39">
        <f t="shared" si="25"/>
        <v>3030</v>
      </c>
      <c r="F200" s="350">
        <f t="shared" si="26"/>
        <v>122</v>
      </c>
      <c r="G200" s="31">
        <v>1.0364</v>
      </c>
      <c r="H200" s="34">
        <f t="shared" si="21"/>
        <v>3140</v>
      </c>
      <c r="I200" s="34">
        <f t="shared" si="18"/>
        <v>110</v>
      </c>
      <c r="J200" s="40">
        <f t="shared" si="19"/>
        <v>3297</v>
      </c>
      <c r="K200" s="34">
        <f t="shared" si="22"/>
        <v>32.97</v>
      </c>
      <c r="L200" s="34">
        <f t="shared" si="23"/>
        <v>33</v>
      </c>
      <c r="M200" s="34">
        <f t="shared" si="24"/>
        <v>3300</v>
      </c>
      <c r="N200" s="35">
        <v>3300</v>
      </c>
      <c r="O200" s="36">
        <f t="shared" si="20"/>
        <v>1.0509554140127388</v>
      </c>
    </row>
    <row r="201" spans="1:15" ht="16.95" customHeight="1">
      <c r="A201" s="25">
        <v>171</v>
      </c>
      <c r="B201" s="37" t="s">
        <v>326</v>
      </c>
      <c r="C201" s="38" t="s">
        <v>327</v>
      </c>
      <c r="D201" s="28">
        <v>485</v>
      </c>
      <c r="E201" s="39">
        <f t="shared" si="25"/>
        <v>510</v>
      </c>
      <c r="F201" s="350">
        <f t="shared" si="26"/>
        <v>25</v>
      </c>
      <c r="G201" s="31">
        <v>1.0364</v>
      </c>
      <c r="H201" s="34">
        <f t="shared" si="21"/>
        <v>529</v>
      </c>
      <c r="I201" s="34">
        <f t="shared" si="18"/>
        <v>19</v>
      </c>
      <c r="J201" s="40">
        <f t="shared" si="19"/>
        <v>555</v>
      </c>
      <c r="K201" s="34">
        <f t="shared" si="22"/>
        <v>5.55</v>
      </c>
      <c r="L201" s="34">
        <f t="shared" si="23"/>
        <v>5.6</v>
      </c>
      <c r="M201" s="34">
        <f t="shared" si="24"/>
        <v>560</v>
      </c>
      <c r="N201" s="35">
        <v>560</v>
      </c>
      <c r="O201" s="36">
        <f t="shared" si="20"/>
        <v>1.0586011342155008</v>
      </c>
    </row>
    <row r="202" spans="1:15" ht="16.95" customHeight="1">
      <c r="A202" s="25">
        <v>172</v>
      </c>
      <c r="B202" s="37" t="s">
        <v>328</v>
      </c>
      <c r="C202" s="38" t="s">
        <v>329</v>
      </c>
      <c r="D202" s="28">
        <v>2908</v>
      </c>
      <c r="E202" s="39">
        <f t="shared" si="25"/>
        <v>3030</v>
      </c>
      <c r="F202" s="350">
        <f t="shared" si="26"/>
        <v>122</v>
      </c>
      <c r="G202" s="31">
        <v>1.0364</v>
      </c>
      <c r="H202" s="34">
        <f t="shared" si="21"/>
        <v>3140</v>
      </c>
      <c r="I202" s="34">
        <f t="shared" si="18"/>
        <v>110</v>
      </c>
      <c r="J202" s="40">
        <f t="shared" si="19"/>
        <v>3297</v>
      </c>
      <c r="K202" s="34">
        <f t="shared" si="22"/>
        <v>32.97</v>
      </c>
      <c r="L202" s="34">
        <f t="shared" si="23"/>
        <v>33</v>
      </c>
      <c r="M202" s="34">
        <f t="shared" si="24"/>
        <v>3300</v>
      </c>
      <c r="N202" s="35">
        <v>3300</v>
      </c>
      <c r="O202" s="36">
        <f t="shared" si="20"/>
        <v>1.0509554140127388</v>
      </c>
    </row>
    <row r="203" spans="1:15" ht="16.95" customHeight="1">
      <c r="A203" s="25">
        <v>173</v>
      </c>
      <c r="B203" s="37" t="s">
        <v>330</v>
      </c>
      <c r="C203" s="38" t="s">
        <v>331</v>
      </c>
      <c r="D203" s="28">
        <v>734</v>
      </c>
      <c r="E203" s="39">
        <f t="shared" si="25"/>
        <v>770</v>
      </c>
      <c r="F203" s="350">
        <f t="shared" si="26"/>
        <v>36</v>
      </c>
      <c r="G203" s="31">
        <v>1.0364</v>
      </c>
      <c r="H203" s="34">
        <f t="shared" si="21"/>
        <v>798</v>
      </c>
      <c r="I203" s="34">
        <f t="shared" si="18"/>
        <v>28</v>
      </c>
      <c r="J203" s="40">
        <f t="shared" si="19"/>
        <v>838</v>
      </c>
      <c r="K203" s="34">
        <f t="shared" si="22"/>
        <v>8.3800000000000008</v>
      </c>
      <c r="L203" s="34">
        <f t="shared" si="23"/>
        <v>8.4</v>
      </c>
      <c r="M203" s="34">
        <f t="shared" si="24"/>
        <v>840</v>
      </c>
      <c r="N203" s="35">
        <v>840</v>
      </c>
      <c r="O203" s="36">
        <f t="shared" si="20"/>
        <v>1.0526315789473684</v>
      </c>
    </row>
    <row r="204" spans="1:15" ht="16.95" customHeight="1">
      <c r="A204" s="25">
        <v>174</v>
      </c>
      <c r="B204" s="37" t="s">
        <v>332</v>
      </c>
      <c r="C204" s="38" t="s">
        <v>333</v>
      </c>
      <c r="D204" s="28">
        <v>485</v>
      </c>
      <c r="E204" s="39">
        <f t="shared" si="25"/>
        <v>510</v>
      </c>
      <c r="F204" s="350">
        <f t="shared" si="26"/>
        <v>25</v>
      </c>
      <c r="G204" s="31">
        <v>1.0364</v>
      </c>
      <c r="H204" s="34">
        <f t="shared" si="21"/>
        <v>529</v>
      </c>
      <c r="I204" s="34">
        <f t="shared" si="18"/>
        <v>19</v>
      </c>
      <c r="J204" s="40">
        <f t="shared" si="19"/>
        <v>555</v>
      </c>
      <c r="K204" s="34">
        <f t="shared" si="22"/>
        <v>5.55</v>
      </c>
      <c r="L204" s="34">
        <f t="shared" si="23"/>
        <v>5.6</v>
      </c>
      <c r="M204" s="34">
        <f t="shared" si="24"/>
        <v>560</v>
      </c>
      <c r="N204" s="35">
        <v>560</v>
      </c>
      <c r="O204" s="36">
        <f t="shared" si="20"/>
        <v>1.0586011342155008</v>
      </c>
    </row>
    <row r="205" spans="1:15" ht="16.95" customHeight="1">
      <c r="A205" s="25">
        <v>175</v>
      </c>
      <c r="B205" s="37" t="s">
        <v>334</v>
      </c>
      <c r="C205" s="38" t="s">
        <v>335</v>
      </c>
      <c r="D205" s="28">
        <v>3878</v>
      </c>
      <c r="E205" s="39">
        <f t="shared" si="25"/>
        <v>4040</v>
      </c>
      <c r="F205" s="350">
        <f t="shared" si="26"/>
        <v>162</v>
      </c>
      <c r="G205" s="31">
        <v>1.0364</v>
      </c>
      <c r="H205" s="34">
        <f t="shared" si="21"/>
        <v>4187</v>
      </c>
      <c r="I205" s="34">
        <f t="shared" si="18"/>
        <v>147</v>
      </c>
      <c r="J205" s="40">
        <f t="shared" si="19"/>
        <v>4396</v>
      </c>
      <c r="K205" s="34">
        <f t="shared" si="22"/>
        <v>43.96</v>
      </c>
      <c r="L205" s="34">
        <f t="shared" si="23"/>
        <v>44</v>
      </c>
      <c r="M205" s="34">
        <f t="shared" si="24"/>
        <v>4400</v>
      </c>
      <c r="N205" s="35">
        <v>4400</v>
      </c>
      <c r="O205" s="36">
        <f t="shared" si="20"/>
        <v>1.0508717458801051</v>
      </c>
    </row>
    <row r="206" spans="1:15" ht="16.95" customHeight="1">
      <c r="A206" s="25">
        <v>176</v>
      </c>
      <c r="B206" s="37" t="s">
        <v>336</v>
      </c>
      <c r="C206" s="38" t="s">
        <v>337</v>
      </c>
      <c r="D206" s="28">
        <v>2908</v>
      </c>
      <c r="E206" s="39">
        <f t="shared" si="25"/>
        <v>3030</v>
      </c>
      <c r="F206" s="350">
        <f t="shared" si="26"/>
        <v>122</v>
      </c>
      <c r="G206" s="31">
        <v>1.0364</v>
      </c>
      <c r="H206" s="34">
        <f t="shared" si="21"/>
        <v>3140</v>
      </c>
      <c r="I206" s="34">
        <f t="shared" si="18"/>
        <v>110</v>
      </c>
      <c r="J206" s="40">
        <f t="shared" si="19"/>
        <v>3297</v>
      </c>
      <c r="K206" s="34">
        <f t="shared" si="22"/>
        <v>32.97</v>
      </c>
      <c r="L206" s="34">
        <f t="shared" si="23"/>
        <v>33</v>
      </c>
      <c r="M206" s="34">
        <f t="shared" si="24"/>
        <v>3300</v>
      </c>
      <c r="N206" s="35">
        <v>3300</v>
      </c>
      <c r="O206" s="36">
        <f t="shared" si="20"/>
        <v>1.0509554140127388</v>
      </c>
    </row>
    <row r="207" spans="1:15" ht="16.95" customHeight="1">
      <c r="A207" s="25">
        <v>177</v>
      </c>
      <c r="B207" s="37" t="s">
        <v>338</v>
      </c>
      <c r="C207" s="38" t="s">
        <v>339</v>
      </c>
      <c r="D207" s="28">
        <v>3878</v>
      </c>
      <c r="E207" s="39">
        <f t="shared" si="25"/>
        <v>4040</v>
      </c>
      <c r="F207" s="350">
        <f t="shared" si="26"/>
        <v>162</v>
      </c>
      <c r="G207" s="31">
        <v>1.0364</v>
      </c>
      <c r="H207" s="34">
        <f t="shared" si="21"/>
        <v>4187</v>
      </c>
      <c r="I207" s="34">
        <f t="shared" si="18"/>
        <v>147</v>
      </c>
      <c r="J207" s="40">
        <f t="shared" si="19"/>
        <v>4396</v>
      </c>
      <c r="K207" s="34">
        <f t="shared" si="22"/>
        <v>43.96</v>
      </c>
      <c r="L207" s="34">
        <f t="shared" si="23"/>
        <v>44</v>
      </c>
      <c r="M207" s="34">
        <f t="shared" si="24"/>
        <v>4400</v>
      </c>
      <c r="N207" s="35">
        <v>4400</v>
      </c>
      <c r="O207" s="36">
        <f t="shared" si="20"/>
        <v>1.0508717458801051</v>
      </c>
    </row>
    <row r="208" spans="1:15" ht="16.95" customHeight="1">
      <c r="A208" s="25">
        <v>178</v>
      </c>
      <c r="B208" s="37" t="s">
        <v>340</v>
      </c>
      <c r="C208" s="38" t="s">
        <v>341</v>
      </c>
      <c r="D208" s="28">
        <v>734</v>
      </c>
      <c r="E208" s="39">
        <f t="shared" si="25"/>
        <v>770</v>
      </c>
      <c r="F208" s="350">
        <f t="shared" si="26"/>
        <v>36</v>
      </c>
      <c r="G208" s="31">
        <v>1.0364</v>
      </c>
      <c r="H208" s="34">
        <f t="shared" si="21"/>
        <v>798</v>
      </c>
      <c r="I208" s="34">
        <f t="shared" si="18"/>
        <v>28</v>
      </c>
      <c r="J208" s="40">
        <f t="shared" si="19"/>
        <v>838</v>
      </c>
      <c r="K208" s="34">
        <f t="shared" si="22"/>
        <v>8.3800000000000008</v>
      </c>
      <c r="L208" s="34">
        <f t="shared" si="23"/>
        <v>8.4</v>
      </c>
      <c r="M208" s="34">
        <f t="shared" si="24"/>
        <v>840</v>
      </c>
      <c r="N208" s="35">
        <v>840</v>
      </c>
      <c r="O208" s="36">
        <f t="shared" si="20"/>
        <v>1.0526315789473684</v>
      </c>
    </row>
    <row r="209" spans="1:15" ht="16.95" customHeight="1">
      <c r="A209" s="25">
        <v>179</v>
      </c>
      <c r="B209" s="37" t="s">
        <v>342</v>
      </c>
      <c r="C209" s="38" t="s">
        <v>343</v>
      </c>
      <c r="D209" s="28">
        <v>2938</v>
      </c>
      <c r="E209" s="39">
        <f t="shared" si="25"/>
        <v>3060</v>
      </c>
      <c r="F209" s="350">
        <f t="shared" si="26"/>
        <v>122</v>
      </c>
      <c r="G209" s="31">
        <v>1.0364</v>
      </c>
      <c r="H209" s="34">
        <f t="shared" si="21"/>
        <v>3171</v>
      </c>
      <c r="I209" s="34">
        <f t="shared" si="18"/>
        <v>111</v>
      </c>
      <c r="J209" s="40">
        <f t="shared" si="19"/>
        <v>3330</v>
      </c>
      <c r="K209" s="34">
        <f t="shared" si="22"/>
        <v>33.299999999999997</v>
      </c>
      <c r="L209" s="34">
        <f t="shared" si="23"/>
        <v>33.299999999999997</v>
      </c>
      <c r="M209" s="34">
        <f t="shared" si="24"/>
        <v>3329.9999999999995</v>
      </c>
      <c r="N209" s="35">
        <v>3329.9999999999995</v>
      </c>
      <c r="O209" s="36">
        <f t="shared" si="20"/>
        <v>1.0501419110690633</v>
      </c>
    </row>
    <row r="210" spans="1:15" ht="16.95" customHeight="1">
      <c r="A210" s="25">
        <v>180</v>
      </c>
      <c r="B210" s="37" t="s">
        <v>344</v>
      </c>
      <c r="C210" s="38" t="s">
        <v>345</v>
      </c>
      <c r="D210" s="28">
        <v>3878</v>
      </c>
      <c r="E210" s="39">
        <f t="shared" si="25"/>
        <v>4040</v>
      </c>
      <c r="F210" s="350">
        <f t="shared" si="26"/>
        <v>162</v>
      </c>
      <c r="G210" s="31">
        <v>1.0364</v>
      </c>
      <c r="H210" s="34">
        <f t="shared" si="21"/>
        <v>4187</v>
      </c>
      <c r="I210" s="34">
        <f t="shared" si="18"/>
        <v>147</v>
      </c>
      <c r="J210" s="40">
        <f t="shared" si="19"/>
        <v>4396</v>
      </c>
      <c r="K210" s="34">
        <f t="shared" si="22"/>
        <v>43.96</v>
      </c>
      <c r="L210" s="34">
        <f t="shared" si="23"/>
        <v>44</v>
      </c>
      <c r="M210" s="34">
        <f t="shared" si="24"/>
        <v>4400</v>
      </c>
      <c r="N210" s="35">
        <v>4400</v>
      </c>
      <c r="O210" s="36">
        <f t="shared" si="20"/>
        <v>1.0508717458801051</v>
      </c>
    </row>
    <row r="211" spans="1:15" ht="16.95" customHeight="1">
      <c r="A211" s="25">
        <v>181</v>
      </c>
      <c r="B211" s="37" t="s">
        <v>346</v>
      </c>
      <c r="C211" s="38" t="s">
        <v>347</v>
      </c>
      <c r="D211" s="28">
        <v>969</v>
      </c>
      <c r="E211" s="39">
        <f t="shared" si="25"/>
        <v>1010</v>
      </c>
      <c r="F211" s="350">
        <f t="shared" si="26"/>
        <v>41</v>
      </c>
      <c r="G211" s="31">
        <v>1.0364</v>
      </c>
      <c r="H211" s="34">
        <f t="shared" si="21"/>
        <v>1047</v>
      </c>
      <c r="I211" s="34">
        <f t="shared" si="18"/>
        <v>37</v>
      </c>
      <c r="J211" s="40">
        <f t="shared" si="19"/>
        <v>1099</v>
      </c>
      <c r="K211" s="34">
        <f t="shared" si="22"/>
        <v>10.99</v>
      </c>
      <c r="L211" s="34">
        <f t="shared" si="23"/>
        <v>11</v>
      </c>
      <c r="M211" s="34">
        <f t="shared" si="24"/>
        <v>1100</v>
      </c>
      <c r="N211" s="35">
        <v>1100</v>
      </c>
      <c r="O211" s="36">
        <f t="shared" si="20"/>
        <v>1.0506208213944603</v>
      </c>
    </row>
    <row r="212" spans="1:15" ht="16.95" customHeight="1">
      <c r="A212" s="25">
        <v>182</v>
      </c>
      <c r="B212" s="37" t="s">
        <v>348</v>
      </c>
      <c r="C212" s="38" t="s">
        <v>349</v>
      </c>
      <c r="D212" s="28">
        <v>1939</v>
      </c>
      <c r="E212" s="39">
        <f t="shared" si="25"/>
        <v>2020</v>
      </c>
      <c r="F212" s="350">
        <f t="shared" si="26"/>
        <v>81</v>
      </c>
      <c r="G212" s="31">
        <v>1.0364</v>
      </c>
      <c r="H212" s="34">
        <f t="shared" si="21"/>
        <v>2094</v>
      </c>
      <c r="I212" s="34">
        <f t="shared" si="18"/>
        <v>74</v>
      </c>
      <c r="J212" s="40">
        <f t="shared" si="19"/>
        <v>2199</v>
      </c>
      <c r="K212" s="34">
        <f t="shared" si="22"/>
        <v>21.99</v>
      </c>
      <c r="L212" s="34">
        <f t="shared" si="23"/>
        <v>22</v>
      </c>
      <c r="M212" s="34">
        <f t="shared" si="24"/>
        <v>2200</v>
      </c>
      <c r="N212" s="35">
        <v>2200</v>
      </c>
      <c r="O212" s="36">
        <f t="shared" si="20"/>
        <v>1.0506208213944603</v>
      </c>
    </row>
    <row r="213" spans="1:15" ht="16.95" customHeight="1">
      <c r="A213" s="25">
        <v>183</v>
      </c>
      <c r="B213" s="37" t="s">
        <v>350</v>
      </c>
      <c r="C213" s="38" t="s">
        <v>351</v>
      </c>
      <c r="D213" s="28">
        <v>3672</v>
      </c>
      <c r="E213" s="39">
        <f t="shared" si="25"/>
        <v>3830</v>
      </c>
      <c r="F213" s="350">
        <f t="shared" si="26"/>
        <v>158</v>
      </c>
      <c r="G213" s="31">
        <v>1.0364</v>
      </c>
      <c r="H213" s="34">
        <f t="shared" si="21"/>
        <v>3969</v>
      </c>
      <c r="I213" s="34">
        <f t="shared" si="18"/>
        <v>139</v>
      </c>
      <c r="J213" s="40">
        <f t="shared" si="19"/>
        <v>4167</v>
      </c>
      <c r="K213" s="34">
        <f t="shared" si="22"/>
        <v>41.67</v>
      </c>
      <c r="L213" s="34">
        <f t="shared" si="23"/>
        <v>41.7</v>
      </c>
      <c r="M213" s="34">
        <f t="shared" si="24"/>
        <v>4170</v>
      </c>
      <c r="N213" s="35">
        <v>4170</v>
      </c>
      <c r="O213" s="36">
        <f t="shared" si="20"/>
        <v>1.0506424792139077</v>
      </c>
    </row>
    <row r="214" spans="1:15" ht="16.95" customHeight="1">
      <c r="A214" s="354">
        <v>184</v>
      </c>
      <c r="B214" s="355" t="s">
        <v>476</v>
      </c>
      <c r="C214" s="356" t="s">
        <v>1437</v>
      </c>
      <c r="D214" s="357">
        <f>300+400</f>
        <v>700</v>
      </c>
      <c r="E214" s="12"/>
      <c r="N214" s="12"/>
    </row>
    <row r="215" spans="1:15" ht="16.95" customHeight="1">
      <c r="A215" s="25">
        <v>185</v>
      </c>
      <c r="B215" s="37" t="s">
        <v>352</v>
      </c>
      <c r="C215" s="38" t="s">
        <v>353</v>
      </c>
      <c r="D215" s="28">
        <v>367</v>
      </c>
      <c r="E215" s="39">
        <f t="shared" si="25"/>
        <v>380</v>
      </c>
      <c r="F215" s="350">
        <f t="shared" si="26"/>
        <v>13</v>
      </c>
      <c r="G215" s="31">
        <v>1.0364</v>
      </c>
      <c r="H215" s="34">
        <f t="shared" si="21"/>
        <v>394</v>
      </c>
      <c r="I215" s="34">
        <f t="shared" si="18"/>
        <v>14</v>
      </c>
      <c r="J215" s="40">
        <f t="shared" si="19"/>
        <v>414</v>
      </c>
      <c r="K215" s="34">
        <f t="shared" si="22"/>
        <v>4.1399999999999997</v>
      </c>
      <c r="L215" s="34">
        <f t="shared" si="23"/>
        <v>4.0999999999999996</v>
      </c>
      <c r="M215" s="34">
        <f t="shared" si="24"/>
        <v>409.99999999999994</v>
      </c>
      <c r="N215" s="35">
        <v>409.99999999999994</v>
      </c>
      <c r="O215" s="36">
        <f t="shared" si="20"/>
        <v>1.0406091370558375</v>
      </c>
    </row>
    <row r="216" spans="1:15" ht="16.95" customHeight="1">
      <c r="A216" s="25">
        <v>186</v>
      </c>
      <c r="B216" s="37" t="s">
        <v>354</v>
      </c>
      <c r="C216" s="38" t="s">
        <v>355</v>
      </c>
      <c r="D216" s="28">
        <v>2754</v>
      </c>
      <c r="E216" s="39">
        <f t="shared" si="25"/>
        <v>2870</v>
      </c>
      <c r="F216" s="350">
        <f t="shared" si="26"/>
        <v>116</v>
      </c>
      <c r="G216" s="31">
        <v>1.0364</v>
      </c>
      <c r="H216" s="34">
        <f t="shared" si="21"/>
        <v>2974</v>
      </c>
      <c r="I216" s="34">
        <f t="shared" si="18"/>
        <v>104</v>
      </c>
      <c r="J216" s="40">
        <f t="shared" si="19"/>
        <v>3123</v>
      </c>
      <c r="K216" s="34">
        <f t="shared" si="22"/>
        <v>31.23</v>
      </c>
      <c r="L216" s="34">
        <f t="shared" si="23"/>
        <v>31.2</v>
      </c>
      <c r="M216" s="34">
        <f t="shared" si="24"/>
        <v>3120</v>
      </c>
      <c r="N216" s="35">
        <v>3120</v>
      </c>
      <c r="O216" s="36">
        <f t="shared" si="20"/>
        <v>1.0490921318090114</v>
      </c>
    </row>
    <row r="217" spans="1:15" ht="16.95" customHeight="1">
      <c r="A217" s="25">
        <v>187</v>
      </c>
      <c r="B217" s="37" t="s">
        <v>356</v>
      </c>
      <c r="C217" s="38" t="s">
        <v>357</v>
      </c>
      <c r="D217" s="28">
        <v>3672</v>
      </c>
      <c r="E217" s="39">
        <f t="shared" si="25"/>
        <v>3830</v>
      </c>
      <c r="F217" s="350">
        <f t="shared" si="26"/>
        <v>158</v>
      </c>
      <c r="G217" s="31">
        <v>1.0364</v>
      </c>
      <c r="H217" s="34">
        <f t="shared" si="21"/>
        <v>3969</v>
      </c>
      <c r="I217" s="34">
        <f t="shared" si="18"/>
        <v>139</v>
      </c>
      <c r="J217" s="40">
        <f t="shared" si="19"/>
        <v>4167</v>
      </c>
      <c r="K217" s="34">
        <f t="shared" si="22"/>
        <v>41.67</v>
      </c>
      <c r="L217" s="34">
        <f t="shared" si="23"/>
        <v>41.7</v>
      </c>
      <c r="M217" s="34">
        <f t="shared" si="24"/>
        <v>4170</v>
      </c>
      <c r="N217" s="35">
        <v>4170</v>
      </c>
      <c r="O217" s="36">
        <f t="shared" si="20"/>
        <v>1.0506424792139077</v>
      </c>
    </row>
    <row r="218" spans="1:15" ht="16.95" customHeight="1">
      <c r="A218" s="25">
        <v>188</v>
      </c>
      <c r="B218" s="37" t="s">
        <v>358</v>
      </c>
      <c r="C218" s="38" t="s">
        <v>359</v>
      </c>
      <c r="D218" s="28">
        <v>3672</v>
      </c>
      <c r="E218" s="39">
        <f t="shared" si="25"/>
        <v>3830</v>
      </c>
      <c r="F218" s="350">
        <f t="shared" si="26"/>
        <v>158</v>
      </c>
      <c r="G218" s="31">
        <v>1.0364</v>
      </c>
      <c r="H218" s="34">
        <f t="shared" si="21"/>
        <v>3969</v>
      </c>
      <c r="I218" s="34">
        <f t="shared" si="18"/>
        <v>139</v>
      </c>
      <c r="J218" s="40">
        <f t="shared" si="19"/>
        <v>4167</v>
      </c>
      <c r="K218" s="34">
        <f t="shared" si="22"/>
        <v>41.67</v>
      </c>
      <c r="L218" s="34">
        <f t="shared" si="23"/>
        <v>41.7</v>
      </c>
      <c r="M218" s="34">
        <f t="shared" si="24"/>
        <v>4170</v>
      </c>
      <c r="N218" s="35">
        <v>4170</v>
      </c>
      <c r="O218" s="36">
        <f t="shared" si="20"/>
        <v>1.0506424792139077</v>
      </c>
    </row>
    <row r="219" spans="1:15" ht="16.95" customHeight="1">
      <c r="A219" s="25">
        <v>189</v>
      </c>
      <c r="B219" s="37" t="s">
        <v>360</v>
      </c>
      <c r="C219" s="38" t="s">
        <v>361</v>
      </c>
      <c r="D219" s="28">
        <v>485</v>
      </c>
      <c r="E219" s="39">
        <f t="shared" si="25"/>
        <v>510</v>
      </c>
      <c r="F219" s="350">
        <f t="shared" si="26"/>
        <v>25</v>
      </c>
      <c r="G219" s="31">
        <v>1.0364</v>
      </c>
      <c r="H219" s="34">
        <f t="shared" si="21"/>
        <v>529</v>
      </c>
      <c r="I219" s="34">
        <f t="shared" ref="I219:I282" si="27">H219-E219</f>
        <v>19</v>
      </c>
      <c r="J219" s="40">
        <f t="shared" ref="J219:J282" si="28">ROUND(H219*1.05, 0)</f>
        <v>555</v>
      </c>
      <c r="K219" s="34">
        <f t="shared" si="22"/>
        <v>5.55</v>
      </c>
      <c r="L219" s="34">
        <f t="shared" si="23"/>
        <v>5.6</v>
      </c>
      <c r="M219" s="34">
        <f t="shared" si="24"/>
        <v>560</v>
      </c>
      <c r="N219" s="35">
        <v>560</v>
      </c>
      <c r="O219" s="36">
        <f t="shared" ref="O219:O282" si="29">N219/H219</f>
        <v>1.0586011342155008</v>
      </c>
    </row>
    <row r="220" spans="1:15" ht="16.95" customHeight="1">
      <c r="A220" s="25">
        <v>190</v>
      </c>
      <c r="B220" s="37" t="s">
        <v>362</v>
      </c>
      <c r="C220" s="38" t="s">
        <v>363</v>
      </c>
      <c r="D220" s="28">
        <v>485</v>
      </c>
      <c r="E220" s="39">
        <f t="shared" si="25"/>
        <v>510</v>
      </c>
      <c r="F220" s="350">
        <f t="shared" si="26"/>
        <v>25</v>
      </c>
      <c r="G220" s="31">
        <v>1.0364</v>
      </c>
      <c r="H220" s="34">
        <f t="shared" ref="H220:H283" si="30">ROUND(E220*G220, 0)</f>
        <v>529</v>
      </c>
      <c r="I220" s="34">
        <f t="shared" si="27"/>
        <v>19</v>
      </c>
      <c r="J220" s="40">
        <f t="shared" si="28"/>
        <v>555</v>
      </c>
      <c r="K220" s="34">
        <f t="shared" ref="K220:K283" si="31">J220/100</f>
        <v>5.55</v>
      </c>
      <c r="L220" s="34">
        <f t="shared" ref="L220:L283" si="32">ROUND(K220,1)</f>
        <v>5.6</v>
      </c>
      <c r="M220" s="34">
        <f t="shared" ref="M220:M283" si="33">L220*100</f>
        <v>560</v>
      </c>
      <c r="N220" s="35">
        <v>560</v>
      </c>
      <c r="O220" s="36">
        <f t="shared" si="29"/>
        <v>1.0586011342155008</v>
      </c>
    </row>
    <row r="221" spans="1:15" ht="16.95" customHeight="1">
      <c r="A221" s="25">
        <v>191</v>
      </c>
      <c r="B221" s="37" t="s">
        <v>364</v>
      </c>
      <c r="C221" s="38" t="s">
        <v>365</v>
      </c>
      <c r="D221" s="28">
        <v>147</v>
      </c>
      <c r="E221" s="39">
        <f t="shared" si="25"/>
        <v>150</v>
      </c>
      <c r="F221" s="350">
        <f t="shared" si="26"/>
        <v>3</v>
      </c>
      <c r="G221" s="31">
        <v>1.0364</v>
      </c>
      <c r="H221" s="34">
        <f t="shared" si="30"/>
        <v>155</v>
      </c>
      <c r="I221" s="34">
        <f t="shared" si="27"/>
        <v>5</v>
      </c>
      <c r="J221" s="40">
        <f t="shared" si="28"/>
        <v>163</v>
      </c>
      <c r="K221" s="34">
        <f t="shared" si="31"/>
        <v>1.63</v>
      </c>
      <c r="L221" s="34">
        <f t="shared" si="32"/>
        <v>1.6</v>
      </c>
      <c r="M221" s="34">
        <f t="shared" si="33"/>
        <v>160</v>
      </c>
      <c r="N221" s="35">
        <v>160</v>
      </c>
      <c r="O221" s="36">
        <f t="shared" si="29"/>
        <v>1.032258064516129</v>
      </c>
    </row>
    <row r="222" spans="1:15" ht="16.95" customHeight="1">
      <c r="A222" s="25">
        <v>192</v>
      </c>
      <c r="B222" s="37" t="s">
        <v>366</v>
      </c>
      <c r="C222" s="38" t="s">
        <v>367</v>
      </c>
      <c r="D222" s="28">
        <v>485</v>
      </c>
      <c r="E222" s="39">
        <f t="shared" si="25"/>
        <v>510</v>
      </c>
      <c r="F222" s="350">
        <f t="shared" si="26"/>
        <v>25</v>
      </c>
      <c r="G222" s="31">
        <v>1.0364</v>
      </c>
      <c r="H222" s="34">
        <f t="shared" si="30"/>
        <v>529</v>
      </c>
      <c r="I222" s="34">
        <f t="shared" si="27"/>
        <v>19</v>
      </c>
      <c r="J222" s="40">
        <f t="shared" si="28"/>
        <v>555</v>
      </c>
      <c r="K222" s="34">
        <f t="shared" si="31"/>
        <v>5.55</v>
      </c>
      <c r="L222" s="34">
        <f t="shared" si="32"/>
        <v>5.6</v>
      </c>
      <c r="M222" s="34">
        <f t="shared" si="33"/>
        <v>560</v>
      </c>
      <c r="N222" s="35">
        <v>560</v>
      </c>
      <c r="O222" s="36">
        <f t="shared" si="29"/>
        <v>1.0586011342155008</v>
      </c>
    </row>
    <row r="223" spans="1:15" ht="16.95" customHeight="1">
      <c r="A223" s="25">
        <v>193</v>
      </c>
      <c r="B223" s="37" t="s">
        <v>368</v>
      </c>
      <c r="C223" s="38" t="s">
        <v>369</v>
      </c>
      <c r="D223" s="28">
        <v>250</v>
      </c>
      <c r="E223" s="39">
        <f t="shared" si="25"/>
        <v>260</v>
      </c>
      <c r="F223" s="350">
        <f t="shared" si="26"/>
        <v>10</v>
      </c>
      <c r="G223" s="31">
        <v>1.0364</v>
      </c>
      <c r="H223" s="34">
        <f t="shared" si="30"/>
        <v>269</v>
      </c>
      <c r="I223" s="34">
        <f t="shared" si="27"/>
        <v>9</v>
      </c>
      <c r="J223" s="40">
        <f t="shared" si="28"/>
        <v>282</v>
      </c>
      <c r="K223" s="34">
        <f t="shared" si="31"/>
        <v>2.82</v>
      </c>
      <c r="L223" s="34">
        <f t="shared" si="32"/>
        <v>2.8</v>
      </c>
      <c r="M223" s="34">
        <f t="shared" si="33"/>
        <v>280</v>
      </c>
      <c r="N223" s="35">
        <v>280</v>
      </c>
      <c r="O223" s="36">
        <f t="shared" si="29"/>
        <v>1.0408921933085502</v>
      </c>
    </row>
    <row r="224" spans="1:15" ht="16.95" customHeight="1">
      <c r="A224" s="25">
        <v>194</v>
      </c>
      <c r="B224" s="37" t="s">
        <v>370</v>
      </c>
      <c r="C224" s="38" t="s">
        <v>371</v>
      </c>
      <c r="D224" s="28">
        <v>485</v>
      </c>
      <c r="E224" s="39">
        <f t="shared" si="25"/>
        <v>510</v>
      </c>
      <c r="F224" s="350">
        <f t="shared" si="26"/>
        <v>25</v>
      </c>
      <c r="G224" s="31">
        <v>1.0364</v>
      </c>
      <c r="H224" s="34">
        <f t="shared" si="30"/>
        <v>529</v>
      </c>
      <c r="I224" s="34">
        <f t="shared" si="27"/>
        <v>19</v>
      </c>
      <c r="J224" s="40">
        <f t="shared" si="28"/>
        <v>555</v>
      </c>
      <c r="K224" s="34">
        <f t="shared" si="31"/>
        <v>5.55</v>
      </c>
      <c r="L224" s="34">
        <f t="shared" si="32"/>
        <v>5.6</v>
      </c>
      <c r="M224" s="34">
        <f t="shared" si="33"/>
        <v>560</v>
      </c>
      <c r="N224" s="35">
        <v>560</v>
      </c>
      <c r="O224" s="36">
        <f t="shared" si="29"/>
        <v>1.0586011342155008</v>
      </c>
    </row>
    <row r="225" spans="1:15" s="55" customFormat="1" ht="16.95" customHeight="1">
      <c r="A225" s="358">
        <v>195</v>
      </c>
      <c r="B225" s="359" t="s">
        <v>372</v>
      </c>
      <c r="C225" s="360" t="s">
        <v>1413</v>
      </c>
      <c r="D225" s="340">
        <v>1000</v>
      </c>
    </row>
    <row r="226" spans="1:15" ht="16.95" customHeight="1">
      <c r="A226" s="25">
        <v>196</v>
      </c>
      <c r="B226" s="37" t="s">
        <v>373</v>
      </c>
      <c r="C226" s="38" t="s">
        <v>374</v>
      </c>
      <c r="D226" s="28">
        <v>734</v>
      </c>
      <c r="E226" s="39">
        <f t="shared" si="25"/>
        <v>770</v>
      </c>
      <c r="F226" s="350">
        <f t="shared" si="26"/>
        <v>36</v>
      </c>
      <c r="G226" s="31">
        <v>1.0364</v>
      </c>
      <c r="H226" s="34">
        <f t="shared" si="30"/>
        <v>798</v>
      </c>
      <c r="I226" s="34">
        <f t="shared" si="27"/>
        <v>28</v>
      </c>
      <c r="J226" s="40">
        <f t="shared" si="28"/>
        <v>838</v>
      </c>
      <c r="K226" s="34">
        <f t="shared" si="31"/>
        <v>8.3800000000000008</v>
      </c>
      <c r="L226" s="34">
        <f t="shared" si="32"/>
        <v>8.4</v>
      </c>
      <c r="M226" s="34">
        <f t="shared" si="33"/>
        <v>840</v>
      </c>
      <c r="N226" s="35">
        <v>840</v>
      </c>
      <c r="O226" s="36">
        <f t="shared" si="29"/>
        <v>1.0526315789473684</v>
      </c>
    </row>
    <row r="227" spans="1:15" ht="16.95" customHeight="1">
      <c r="A227" s="25">
        <v>197</v>
      </c>
      <c r="B227" s="37" t="s">
        <v>375</v>
      </c>
      <c r="C227" s="38" t="s">
        <v>376</v>
      </c>
      <c r="D227" s="28">
        <v>250</v>
      </c>
      <c r="E227" s="39">
        <f t="shared" si="25"/>
        <v>260</v>
      </c>
      <c r="F227" s="350">
        <f t="shared" si="26"/>
        <v>10</v>
      </c>
      <c r="G227" s="31">
        <v>1.0364</v>
      </c>
      <c r="H227" s="34">
        <f t="shared" si="30"/>
        <v>269</v>
      </c>
      <c r="I227" s="34">
        <f t="shared" si="27"/>
        <v>9</v>
      </c>
      <c r="J227" s="40">
        <f t="shared" si="28"/>
        <v>282</v>
      </c>
      <c r="K227" s="34">
        <f t="shared" si="31"/>
        <v>2.82</v>
      </c>
      <c r="L227" s="34">
        <f t="shared" si="32"/>
        <v>2.8</v>
      </c>
      <c r="M227" s="34">
        <f t="shared" si="33"/>
        <v>280</v>
      </c>
      <c r="N227" s="35">
        <v>280</v>
      </c>
      <c r="O227" s="36">
        <f t="shared" si="29"/>
        <v>1.0408921933085502</v>
      </c>
    </row>
    <row r="228" spans="1:15" s="46" customFormat="1" ht="16.95" customHeight="1">
      <c r="A228" s="43"/>
      <c r="B228" s="44"/>
      <c r="C228" s="45" t="s">
        <v>377</v>
      </c>
      <c r="D228" s="351"/>
      <c r="E228" s="352"/>
      <c r="F228" s="353"/>
      <c r="G228" s="31"/>
      <c r="H228" s="45"/>
      <c r="I228" s="45"/>
      <c r="J228" s="361"/>
      <c r="K228" s="34"/>
      <c r="L228" s="34"/>
      <c r="M228" s="45"/>
      <c r="N228" s="35"/>
      <c r="O228" s="36"/>
    </row>
    <row r="229" spans="1:15" ht="16.95" customHeight="1">
      <c r="A229" s="25">
        <v>198</v>
      </c>
      <c r="B229" s="37" t="s">
        <v>378</v>
      </c>
      <c r="C229" s="38" t="s">
        <v>379</v>
      </c>
      <c r="D229" s="28">
        <v>323</v>
      </c>
      <c r="E229" s="39">
        <f t="shared" ref="E229:E292" si="34">ROUND(D229*1.043/10,0)*10</f>
        <v>340</v>
      </c>
      <c r="F229" s="350">
        <f t="shared" ref="F229:F292" si="35">E229-D229</f>
        <v>17</v>
      </c>
      <c r="G229" s="31">
        <v>1.0364</v>
      </c>
      <c r="H229" s="34">
        <f t="shared" si="30"/>
        <v>352</v>
      </c>
      <c r="I229" s="34">
        <f t="shared" si="27"/>
        <v>12</v>
      </c>
      <c r="J229" s="40">
        <f t="shared" si="28"/>
        <v>370</v>
      </c>
      <c r="K229" s="34">
        <f t="shared" si="31"/>
        <v>3.7</v>
      </c>
      <c r="L229" s="34">
        <f t="shared" si="32"/>
        <v>3.7</v>
      </c>
      <c r="M229" s="34">
        <f t="shared" si="33"/>
        <v>370</v>
      </c>
      <c r="N229" s="35">
        <v>370</v>
      </c>
      <c r="O229" s="36">
        <f t="shared" si="29"/>
        <v>1.0511363636363635</v>
      </c>
    </row>
    <row r="230" spans="1:15" ht="16.95" customHeight="1">
      <c r="A230" s="25">
        <v>199</v>
      </c>
      <c r="B230" s="37" t="s">
        <v>380</v>
      </c>
      <c r="C230" s="38" t="s">
        <v>381</v>
      </c>
      <c r="D230" s="28">
        <v>103</v>
      </c>
      <c r="E230" s="39">
        <f t="shared" si="34"/>
        <v>110</v>
      </c>
      <c r="F230" s="350">
        <f t="shared" si="35"/>
        <v>7</v>
      </c>
      <c r="G230" s="31">
        <v>1.0364</v>
      </c>
      <c r="H230" s="34">
        <f t="shared" si="30"/>
        <v>114</v>
      </c>
      <c r="I230" s="34">
        <f t="shared" si="27"/>
        <v>4</v>
      </c>
      <c r="J230" s="40">
        <f t="shared" si="28"/>
        <v>120</v>
      </c>
      <c r="K230" s="34">
        <f t="shared" si="31"/>
        <v>1.2</v>
      </c>
      <c r="L230" s="34">
        <f t="shared" si="32"/>
        <v>1.2</v>
      </c>
      <c r="M230" s="34">
        <f t="shared" si="33"/>
        <v>120</v>
      </c>
      <c r="N230" s="35">
        <v>120</v>
      </c>
      <c r="O230" s="36">
        <f t="shared" si="29"/>
        <v>1.0526315789473684</v>
      </c>
    </row>
    <row r="231" spans="1:15" ht="16.95" customHeight="1">
      <c r="A231" s="25">
        <v>200</v>
      </c>
      <c r="B231" s="37" t="s">
        <v>382</v>
      </c>
      <c r="C231" s="38" t="s">
        <v>383</v>
      </c>
      <c r="D231" s="28">
        <v>162</v>
      </c>
      <c r="E231" s="39">
        <f t="shared" si="34"/>
        <v>170</v>
      </c>
      <c r="F231" s="350">
        <f t="shared" si="35"/>
        <v>8</v>
      </c>
      <c r="G231" s="31">
        <v>1.0364</v>
      </c>
      <c r="H231" s="34">
        <f t="shared" si="30"/>
        <v>176</v>
      </c>
      <c r="I231" s="34">
        <f t="shared" si="27"/>
        <v>6</v>
      </c>
      <c r="J231" s="40">
        <f t="shared" si="28"/>
        <v>185</v>
      </c>
      <c r="K231" s="34">
        <f t="shared" si="31"/>
        <v>1.85</v>
      </c>
      <c r="L231" s="34">
        <f t="shared" si="32"/>
        <v>1.9</v>
      </c>
      <c r="M231" s="34">
        <f t="shared" si="33"/>
        <v>190</v>
      </c>
      <c r="N231" s="35">
        <v>190</v>
      </c>
      <c r="O231" s="36">
        <f t="shared" si="29"/>
        <v>1.0795454545454546</v>
      </c>
    </row>
    <row r="232" spans="1:15" ht="16.95" customHeight="1">
      <c r="A232" s="25">
        <v>201</v>
      </c>
      <c r="B232" s="37" t="s">
        <v>384</v>
      </c>
      <c r="C232" s="38" t="s">
        <v>385</v>
      </c>
      <c r="D232" s="28">
        <v>308</v>
      </c>
      <c r="E232" s="39">
        <f t="shared" si="34"/>
        <v>320</v>
      </c>
      <c r="F232" s="350">
        <f t="shared" si="35"/>
        <v>12</v>
      </c>
      <c r="G232" s="31">
        <v>1.0364</v>
      </c>
      <c r="H232" s="34">
        <f t="shared" si="30"/>
        <v>332</v>
      </c>
      <c r="I232" s="34">
        <f t="shared" si="27"/>
        <v>12</v>
      </c>
      <c r="J232" s="40">
        <f t="shared" si="28"/>
        <v>349</v>
      </c>
      <c r="K232" s="34">
        <f t="shared" si="31"/>
        <v>3.49</v>
      </c>
      <c r="L232" s="34">
        <f t="shared" si="32"/>
        <v>3.5</v>
      </c>
      <c r="M232" s="34">
        <f t="shared" si="33"/>
        <v>350</v>
      </c>
      <c r="N232" s="35">
        <v>350</v>
      </c>
      <c r="O232" s="36">
        <f t="shared" si="29"/>
        <v>1.0542168674698795</v>
      </c>
    </row>
    <row r="233" spans="1:15" ht="16.95" customHeight="1">
      <c r="A233" s="25">
        <v>202</v>
      </c>
      <c r="B233" s="37" t="s">
        <v>386</v>
      </c>
      <c r="C233" s="38" t="s">
        <v>387</v>
      </c>
      <c r="D233" s="28">
        <v>235</v>
      </c>
      <c r="E233" s="39">
        <f t="shared" si="34"/>
        <v>250</v>
      </c>
      <c r="F233" s="350">
        <f t="shared" si="35"/>
        <v>15</v>
      </c>
      <c r="G233" s="31">
        <v>1.0364</v>
      </c>
      <c r="H233" s="34">
        <f t="shared" si="30"/>
        <v>259</v>
      </c>
      <c r="I233" s="34">
        <f t="shared" si="27"/>
        <v>9</v>
      </c>
      <c r="J233" s="40">
        <f t="shared" si="28"/>
        <v>272</v>
      </c>
      <c r="K233" s="34">
        <f t="shared" si="31"/>
        <v>2.72</v>
      </c>
      <c r="L233" s="34">
        <f t="shared" si="32"/>
        <v>2.7</v>
      </c>
      <c r="M233" s="34">
        <f t="shared" si="33"/>
        <v>270</v>
      </c>
      <c r="N233" s="35">
        <v>270</v>
      </c>
      <c r="O233" s="36">
        <f t="shared" si="29"/>
        <v>1.0424710424710424</v>
      </c>
    </row>
    <row r="234" spans="1:15" ht="16.95" customHeight="1">
      <c r="A234" s="25">
        <v>203</v>
      </c>
      <c r="B234" s="37" t="s">
        <v>388</v>
      </c>
      <c r="C234" s="38" t="s">
        <v>389</v>
      </c>
      <c r="D234" s="28">
        <v>734</v>
      </c>
      <c r="E234" s="39">
        <f t="shared" si="34"/>
        <v>770</v>
      </c>
      <c r="F234" s="350">
        <f t="shared" si="35"/>
        <v>36</v>
      </c>
      <c r="G234" s="31">
        <v>1.0364</v>
      </c>
      <c r="H234" s="34">
        <f t="shared" si="30"/>
        <v>798</v>
      </c>
      <c r="I234" s="34">
        <f t="shared" si="27"/>
        <v>28</v>
      </c>
      <c r="J234" s="40">
        <f t="shared" si="28"/>
        <v>838</v>
      </c>
      <c r="K234" s="34">
        <f t="shared" si="31"/>
        <v>8.3800000000000008</v>
      </c>
      <c r="L234" s="34">
        <f t="shared" si="32"/>
        <v>8.4</v>
      </c>
      <c r="M234" s="34">
        <f t="shared" si="33"/>
        <v>840</v>
      </c>
      <c r="N234" s="35">
        <v>840</v>
      </c>
      <c r="O234" s="36">
        <f t="shared" si="29"/>
        <v>1.0526315789473684</v>
      </c>
    </row>
    <row r="235" spans="1:15" ht="16.95" customHeight="1">
      <c r="A235" s="25">
        <v>204</v>
      </c>
      <c r="B235" s="37" t="s">
        <v>390</v>
      </c>
      <c r="C235" s="38" t="s">
        <v>391</v>
      </c>
      <c r="D235" s="28">
        <v>110</v>
      </c>
      <c r="E235" s="39">
        <v>115</v>
      </c>
      <c r="F235" s="350">
        <f t="shared" si="35"/>
        <v>5</v>
      </c>
      <c r="G235" s="31">
        <v>1.0364</v>
      </c>
      <c r="H235" s="34">
        <f t="shared" si="30"/>
        <v>119</v>
      </c>
      <c r="I235" s="34">
        <f t="shared" si="27"/>
        <v>4</v>
      </c>
      <c r="J235" s="40">
        <f t="shared" si="28"/>
        <v>125</v>
      </c>
      <c r="K235" s="34">
        <f t="shared" si="31"/>
        <v>1.25</v>
      </c>
      <c r="L235" s="34">
        <f t="shared" si="32"/>
        <v>1.3</v>
      </c>
      <c r="M235" s="34">
        <f t="shared" si="33"/>
        <v>130</v>
      </c>
      <c r="N235" s="35">
        <v>130</v>
      </c>
      <c r="O235" s="36">
        <f t="shared" si="29"/>
        <v>1.0924369747899159</v>
      </c>
    </row>
    <row r="236" spans="1:15" ht="16.95" customHeight="1">
      <c r="A236" s="25">
        <v>205</v>
      </c>
      <c r="B236" s="37" t="s">
        <v>392</v>
      </c>
      <c r="C236" s="38" t="s">
        <v>393</v>
      </c>
      <c r="D236" s="28">
        <v>632</v>
      </c>
      <c r="E236" s="39">
        <f t="shared" si="34"/>
        <v>660</v>
      </c>
      <c r="F236" s="350">
        <f t="shared" si="35"/>
        <v>28</v>
      </c>
      <c r="G236" s="31">
        <v>1.0364</v>
      </c>
      <c r="H236" s="34">
        <f t="shared" si="30"/>
        <v>684</v>
      </c>
      <c r="I236" s="34">
        <f t="shared" si="27"/>
        <v>24</v>
      </c>
      <c r="J236" s="40">
        <f t="shared" si="28"/>
        <v>718</v>
      </c>
      <c r="K236" s="34">
        <f t="shared" si="31"/>
        <v>7.18</v>
      </c>
      <c r="L236" s="34">
        <f t="shared" si="32"/>
        <v>7.2</v>
      </c>
      <c r="M236" s="34">
        <f t="shared" si="33"/>
        <v>720</v>
      </c>
      <c r="N236" s="35">
        <v>720</v>
      </c>
      <c r="O236" s="36">
        <f t="shared" si="29"/>
        <v>1.0526315789473684</v>
      </c>
    </row>
    <row r="237" spans="1:15" ht="16.95" customHeight="1">
      <c r="A237" s="25">
        <v>206</v>
      </c>
      <c r="B237" s="37" t="s">
        <v>394</v>
      </c>
      <c r="C237" s="38" t="s">
        <v>395</v>
      </c>
      <c r="D237" s="28">
        <v>4039</v>
      </c>
      <c r="E237" s="39">
        <f t="shared" si="34"/>
        <v>4210</v>
      </c>
      <c r="F237" s="350">
        <f t="shared" si="35"/>
        <v>171</v>
      </c>
      <c r="G237" s="31">
        <v>1.0364</v>
      </c>
      <c r="H237" s="34">
        <f t="shared" si="30"/>
        <v>4363</v>
      </c>
      <c r="I237" s="34">
        <f t="shared" si="27"/>
        <v>153</v>
      </c>
      <c r="J237" s="40">
        <f t="shared" si="28"/>
        <v>4581</v>
      </c>
      <c r="K237" s="34">
        <f t="shared" si="31"/>
        <v>45.81</v>
      </c>
      <c r="L237" s="34">
        <f t="shared" si="32"/>
        <v>45.8</v>
      </c>
      <c r="M237" s="34">
        <f t="shared" si="33"/>
        <v>4580</v>
      </c>
      <c r="N237" s="35">
        <v>4580</v>
      </c>
      <c r="O237" s="36">
        <f t="shared" si="29"/>
        <v>1.049736419894568</v>
      </c>
    </row>
    <row r="238" spans="1:15" ht="16.95" customHeight="1">
      <c r="A238" s="25">
        <v>207</v>
      </c>
      <c r="B238" s="37" t="s">
        <v>396</v>
      </c>
      <c r="C238" s="38" t="s">
        <v>397</v>
      </c>
      <c r="D238" s="28">
        <v>129</v>
      </c>
      <c r="E238" s="39">
        <f t="shared" si="34"/>
        <v>130</v>
      </c>
      <c r="F238" s="350">
        <f t="shared" si="35"/>
        <v>1</v>
      </c>
      <c r="G238" s="31">
        <v>1.0364</v>
      </c>
      <c r="H238" s="34">
        <f t="shared" si="30"/>
        <v>135</v>
      </c>
      <c r="I238" s="34">
        <f t="shared" si="27"/>
        <v>5</v>
      </c>
      <c r="J238" s="40">
        <f t="shared" si="28"/>
        <v>142</v>
      </c>
      <c r="K238" s="34">
        <f t="shared" si="31"/>
        <v>1.42</v>
      </c>
      <c r="L238" s="34">
        <f t="shared" si="32"/>
        <v>1.4</v>
      </c>
      <c r="M238" s="34">
        <f t="shared" si="33"/>
        <v>140</v>
      </c>
      <c r="N238" s="35">
        <v>140</v>
      </c>
      <c r="O238" s="36">
        <f t="shared" si="29"/>
        <v>1.037037037037037</v>
      </c>
    </row>
    <row r="239" spans="1:15" ht="16.95" customHeight="1">
      <c r="A239" s="25">
        <v>208</v>
      </c>
      <c r="B239" s="37" t="s">
        <v>398</v>
      </c>
      <c r="C239" s="38" t="s">
        <v>399</v>
      </c>
      <c r="D239" s="28">
        <v>955</v>
      </c>
      <c r="E239" s="39">
        <f t="shared" si="34"/>
        <v>1000</v>
      </c>
      <c r="F239" s="350">
        <f t="shared" si="35"/>
        <v>45</v>
      </c>
      <c r="G239" s="31">
        <v>1.0364</v>
      </c>
      <c r="H239" s="34">
        <f t="shared" si="30"/>
        <v>1036</v>
      </c>
      <c r="I239" s="34">
        <f t="shared" si="27"/>
        <v>36</v>
      </c>
      <c r="J239" s="40">
        <f t="shared" si="28"/>
        <v>1088</v>
      </c>
      <c r="K239" s="34">
        <f t="shared" si="31"/>
        <v>10.88</v>
      </c>
      <c r="L239" s="34">
        <f t="shared" si="32"/>
        <v>10.9</v>
      </c>
      <c r="M239" s="34">
        <f t="shared" si="33"/>
        <v>1090</v>
      </c>
      <c r="N239" s="35">
        <v>1090</v>
      </c>
      <c r="O239" s="36">
        <f t="shared" si="29"/>
        <v>1.0521235521235521</v>
      </c>
    </row>
    <row r="240" spans="1:15" ht="16.95" customHeight="1">
      <c r="A240" s="25">
        <v>209</v>
      </c>
      <c r="B240" s="37" t="s">
        <v>400</v>
      </c>
      <c r="C240" s="38" t="s">
        <v>401</v>
      </c>
      <c r="D240" s="28">
        <v>955</v>
      </c>
      <c r="E240" s="39">
        <f t="shared" si="34"/>
        <v>1000</v>
      </c>
      <c r="F240" s="350">
        <f t="shared" si="35"/>
        <v>45</v>
      </c>
      <c r="G240" s="31">
        <v>1.0364</v>
      </c>
      <c r="H240" s="34">
        <f t="shared" si="30"/>
        <v>1036</v>
      </c>
      <c r="I240" s="34">
        <f t="shared" si="27"/>
        <v>36</v>
      </c>
      <c r="J240" s="40">
        <f t="shared" si="28"/>
        <v>1088</v>
      </c>
      <c r="K240" s="34">
        <f t="shared" si="31"/>
        <v>10.88</v>
      </c>
      <c r="L240" s="34">
        <f t="shared" si="32"/>
        <v>10.9</v>
      </c>
      <c r="M240" s="34">
        <f t="shared" si="33"/>
        <v>1090</v>
      </c>
      <c r="N240" s="35">
        <v>1090</v>
      </c>
      <c r="O240" s="36">
        <f t="shared" si="29"/>
        <v>1.0521235521235521</v>
      </c>
    </row>
    <row r="241" spans="1:15" ht="16.95" customHeight="1">
      <c r="A241" s="25">
        <v>210</v>
      </c>
      <c r="B241" s="37" t="s">
        <v>402</v>
      </c>
      <c r="C241" s="38" t="s">
        <v>403</v>
      </c>
      <c r="D241" s="28">
        <v>1263</v>
      </c>
      <c r="E241" s="39">
        <f t="shared" si="34"/>
        <v>1320</v>
      </c>
      <c r="F241" s="350">
        <f t="shared" si="35"/>
        <v>57</v>
      </c>
      <c r="G241" s="31">
        <v>1.0364</v>
      </c>
      <c r="H241" s="34">
        <f t="shared" si="30"/>
        <v>1368</v>
      </c>
      <c r="I241" s="34">
        <f t="shared" si="27"/>
        <v>48</v>
      </c>
      <c r="J241" s="40">
        <f t="shared" si="28"/>
        <v>1436</v>
      </c>
      <c r="K241" s="34">
        <f t="shared" si="31"/>
        <v>14.36</v>
      </c>
      <c r="L241" s="34">
        <f t="shared" si="32"/>
        <v>14.4</v>
      </c>
      <c r="M241" s="34">
        <f t="shared" si="33"/>
        <v>1440</v>
      </c>
      <c r="N241" s="35">
        <v>1440</v>
      </c>
      <c r="O241" s="36">
        <f t="shared" si="29"/>
        <v>1.0526315789473684</v>
      </c>
    </row>
    <row r="242" spans="1:15" ht="16.95" customHeight="1">
      <c r="A242" s="25">
        <v>211</v>
      </c>
      <c r="B242" s="37" t="s">
        <v>404</v>
      </c>
      <c r="C242" s="38" t="s">
        <v>405</v>
      </c>
      <c r="D242" s="28">
        <v>3672</v>
      </c>
      <c r="E242" s="39">
        <f t="shared" si="34"/>
        <v>3830</v>
      </c>
      <c r="F242" s="350">
        <f t="shared" si="35"/>
        <v>158</v>
      </c>
      <c r="G242" s="31">
        <v>1.0364</v>
      </c>
      <c r="H242" s="34">
        <f t="shared" si="30"/>
        <v>3969</v>
      </c>
      <c r="I242" s="34">
        <f t="shared" si="27"/>
        <v>139</v>
      </c>
      <c r="J242" s="40">
        <f t="shared" si="28"/>
        <v>4167</v>
      </c>
      <c r="K242" s="34">
        <f t="shared" si="31"/>
        <v>41.67</v>
      </c>
      <c r="L242" s="34">
        <f t="shared" si="32"/>
        <v>41.7</v>
      </c>
      <c r="M242" s="34">
        <f t="shared" si="33"/>
        <v>4170</v>
      </c>
      <c r="N242" s="35">
        <v>4170</v>
      </c>
      <c r="O242" s="36">
        <f t="shared" si="29"/>
        <v>1.0506424792139077</v>
      </c>
    </row>
    <row r="243" spans="1:15" ht="16.95" customHeight="1">
      <c r="A243" s="25">
        <v>212</v>
      </c>
      <c r="B243" s="37" t="s">
        <v>406</v>
      </c>
      <c r="C243" s="38" t="s">
        <v>407</v>
      </c>
      <c r="D243" s="28">
        <v>1193</v>
      </c>
      <c r="E243" s="39">
        <f t="shared" si="34"/>
        <v>1240</v>
      </c>
      <c r="F243" s="350">
        <f t="shared" si="35"/>
        <v>47</v>
      </c>
      <c r="G243" s="31">
        <v>1.0364</v>
      </c>
      <c r="H243" s="34">
        <f t="shared" si="30"/>
        <v>1285</v>
      </c>
      <c r="I243" s="34">
        <f t="shared" si="27"/>
        <v>45</v>
      </c>
      <c r="J243" s="40">
        <f t="shared" si="28"/>
        <v>1349</v>
      </c>
      <c r="K243" s="34">
        <f t="shared" si="31"/>
        <v>13.49</v>
      </c>
      <c r="L243" s="34">
        <f t="shared" si="32"/>
        <v>13.5</v>
      </c>
      <c r="M243" s="34">
        <f t="shared" si="33"/>
        <v>1350</v>
      </c>
      <c r="N243" s="35">
        <v>1350</v>
      </c>
      <c r="O243" s="36">
        <f t="shared" si="29"/>
        <v>1.0505836575875487</v>
      </c>
    </row>
    <row r="244" spans="1:15" ht="16.95" customHeight="1">
      <c r="A244" s="25">
        <v>213</v>
      </c>
      <c r="B244" s="37" t="s">
        <v>408</v>
      </c>
      <c r="C244" s="38" t="s">
        <v>409</v>
      </c>
      <c r="D244" s="28">
        <v>3158</v>
      </c>
      <c r="E244" s="39">
        <f t="shared" si="34"/>
        <v>3290</v>
      </c>
      <c r="F244" s="350">
        <f t="shared" si="35"/>
        <v>132</v>
      </c>
      <c r="G244" s="31">
        <v>1.0364</v>
      </c>
      <c r="H244" s="34">
        <f t="shared" si="30"/>
        <v>3410</v>
      </c>
      <c r="I244" s="34">
        <f t="shared" si="27"/>
        <v>120</v>
      </c>
      <c r="J244" s="40">
        <f t="shared" si="28"/>
        <v>3581</v>
      </c>
      <c r="K244" s="34">
        <f t="shared" si="31"/>
        <v>35.81</v>
      </c>
      <c r="L244" s="34">
        <f t="shared" si="32"/>
        <v>35.799999999999997</v>
      </c>
      <c r="M244" s="34">
        <f t="shared" si="33"/>
        <v>3579.9999999999995</v>
      </c>
      <c r="N244" s="35">
        <v>3579.9999999999995</v>
      </c>
      <c r="O244" s="36">
        <f t="shared" si="29"/>
        <v>1.0498533724340176</v>
      </c>
    </row>
    <row r="245" spans="1:15" ht="16.95" customHeight="1">
      <c r="A245" s="25">
        <v>214</v>
      </c>
      <c r="B245" s="37" t="s">
        <v>410</v>
      </c>
      <c r="C245" s="38" t="s">
        <v>411</v>
      </c>
      <c r="D245" s="28">
        <v>470</v>
      </c>
      <c r="E245" s="39">
        <f t="shared" si="34"/>
        <v>490</v>
      </c>
      <c r="F245" s="350">
        <f t="shared" si="35"/>
        <v>20</v>
      </c>
      <c r="G245" s="31">
        <v>1.0364</v>
      </c>
      <c r="H245" s="34">
        <f t="shared" si="30"/>
        <v>508</v>
      </c>
      <c r="I245" s="34">
        <f t="shared" si="27"/>
        <v>18</v>
      </c>
      <c r="J245" s="40">
        <f t="shared" si="28"/>
        <v>533</v>
      </c>
      <c r="K245" s="34">
        <f t="shared" si="31"/>
        <v>5.33</v>
      </c>
      <c r="L245" s="34">
        <f t="shared" si="32"/>
        <v>5.3</v>
      </c>
      <c r="M245" s="34">
        <f t="shared" si="33"/>
        <v>530</v>
      </c>
      <c r="N245" s="35">
        <v>530</v>
      </c>
      <c r="O245" s="36">
        <f t="shared" si="29"/>
        <v>1.0433070866141732</v>
      </c>
    </row>
    <row r="246" spans="1:15" ht="16.95" customHeight="1">
      <c r="A246" s="25">
        <v>215</v>
      </c>
      <c r="B246" s="37" t="s">
        <v>412</v>
      </c>
      <c r="C246" s="38" t="s">
        <v>413</v>
      </c>
      <c r="D246" s="28">
        <v>308</v>
      </c>
      <c r="E246" s="39">
        <f t="shared" si="34"/>
        <v>320</v>
      </c>
      <c r="F246" s="350">
        <f t="shared" si="35"/>
        <v>12</v>
      </c>
      <c r="G246" s="31">
        <v>1.0364</v>
      </c>
      <c r="H246" s="34">
        <f t="shared" si="30"/>
        <v>332</v>
      </c>
      <c r="I246" s="34">
        <f t="shared" si="27"/>
        <v>12</v>
      </c>
      <c r="J246" s="40">
        <f t="shared" si="28"/>
        <v>349</v>
      </c>
      <c r="K246" s="34">
        <f t="shared" si="31"/>
        <v>3.49</v>
      </c>
      <c r="L246" s="34">
        <f t="shared" si="32"/>
        <v>3.5</v>
      </c>
      <c r="M246" s="34">
        <f t="shared" si="33"/>
        <v>350</v>
      </c>
      <c r="N246" s="35">
        <v>350</v>
      </c>
      <c r="O246" s="36">
        <f t="shared" si="29"/>
        <v>1.0542168674698795</v>
      </c>
    </row>
    <row r="247" spans="1:15" ht="16.95" customHeight="1">
      <c r="A247" s="25">
        <v>216</v>
      </c>
      <c r="B247" s="37" t="s">
        <v>414</v>
      </c>
      <c r="C247" s="38" t="s">
        <v>415</v>
      </c>
      <c r="D247" s="28">
        <v>159</v>
      </c>
      <c r="E247" s="39">
        <f t="shared" si="34"/>
        <v>170</v>
      </c>
      <c r="F247" s="350">
        <f t="shared" si="35"/>
        <v>11</v>
      </c>
      <c r="G247" s="31">
        <v>1.0364</v>
      </c>
      <c r="H247" s="34">
        <f t="shared" si="30"/>
        <v>176</v>
      </c>
      <c r="I247" s="34">
        <f t="shared" si="27"/>
        <v>6</v>
      </c>
      <c r="J247" s="40">
        <f t="shared" si="28"/>
        <v>185</v>
      </c>
      <c r="K247" s="34">
        <f t="shared" si="31"/>
        <v>1.85</v>
      </c>
      <c r="L247" s="34">
        <f t="shared" si="32"/>
        <v>1.9</v>
      </c>
      <c r="M247" s="34">
        <f t="shared" si="33"/>
        <v>190</v>
      </c>
      <c r="N247" s="35">
        <v>190</v>
      </c>
      <c r="O247" s="36">
        <f t="shared" si="29"/>
        <v>1.0795454545454546</v>
      </c>
    </row>
    <row r="248" spans="1:15" s="232" customFormat="1" ht="16.95" customHeight="1">
      <c r="A248" s="277">
        <v>217</v>
      </c>
      <c r="B248" s="282" t="s">
        <v>416</v>
      </c>
      <c r="C248" s="283" t="s">
        <v>417</v>
      </c>
      <c r="D248" s="284">
        <v>632</v>
      </c>
      <c r="E248" s="285">
        <f t="shared" si="34"/>
        <v>660</v>
      </c>
      <c r="F248" s="295">
        <f t="shared" si="35"/>
        <v>28</v>
      </c>
      <c r="G248" s="286">
        <v>1.0364</v>
      </c>
      <c r="H248" s="287">
        <f t="shared" si="30"/>
        <v>684</v>
      </c>
      <c r="I248" s="287">
        <f t="shared" si="27"/>
        <v>24</v>
      </c>
      <c r="J248" s="288">
        <f t="shared" si="28"/>
        <v>718</v>
      </c>
      <c r="K248" s="287">
        <f t="shared" si="31"/>
        <v>7.18</v>
      </c>
      <c r="L248" s="287">
        <f t="shared" si="32"/>
        <v>7.2</v>
      </c>
      <c r="M248" s="287">
        <f t="shared" si="33"/>
        <v>720</v>
      </c>
      <c r="N248" s="280">
        <v>720</v>
      </c>
      <c r="O248" s="289">
        <f t="shared" si="29"/>
        <v>1.0526315789473684</v>
      </c>
    </row>
    <row r="249" spans="1:15" s="232" customFormat="1" ht="16.95" customHeight="1">
      <c r="A249" s="277">
        <v>218</v>
      </c>
      <c r="B249" s="282" t="s">
        <v>418</v>
      </c>
      <c r="C249" s="283" t="s">
        <v>419</v>
      </c>
      <c r="D249" s="284">
        <v>162</v>
      </c>
      <c r="E249" s="285">
        <f t="shared" si="34"/>
        <v>170</v>
      </c>
      <c r="F249" s="295">
        <f t="shared" si="35"/>
        <v>8</v>
      </c>
      <c r="G249" s="286">
        <v>1.0364</v>
      </c>
      <c r="H249" s="287">
        <f t="shared" si="30"/>
        <v>176</v>
      </c>
      <c r="I249" s="287">
        <f t="shared" si="27"/>
        <v>6</v>
      </c>
      <c r="J249" s="288">
        <f t="shared" si="28"/>
        <v>185</v>
      </c>
      <c r="K249" s="287">
        <f t="shared" si="31"/>
        <v>1.85</v>
      </c>
      <c r="L249" s="287">
        <f t="shared" si="32"/>
        <v>1.9</v>
      </c>
      <c r="M249" s="287">
        <f t="shared" si="33"/>
        <v>190</v>
      </c>
      <c r="N249" s="280">
        <v>190</v>
      </c>
      <c r="O249" s="289">
        <f t="shared" si="29"/>
        <v>1.0795454545454546</v>
      </c>
    </row>
    <row r="250" spans="1:15" s="232" customFormat="1" ht="16.95" customHeight="1">
      <c r="A250" s="277">
        <v>219</v>
      </c>
      <c r="B250" s="282" t="s">
        <v>420</v>
      </c>
      <c r="C250" s="283" t="s">
        <v>421</v>
      </c>
      <c r="D250" s="284">
        <v>470</v>
      </c>
      <c r="E250" s="285">
        <f t="shared" si="34"/>
        <v>490</v>
      </c>
      <c r="F250" s="295">
        <f t="shared" si="35"/>
        <v>20</v>
      </c>
      <c r="G250" s="286">
        <v>1.0364</v>
      </c>
      <c r="H250" s="287">
        <f t="shared" si="30"/>
        <v>508</v>
      </c>
      <c r="I250" s="287">
        <f t="shared" si="27"/>
        <v>18</v>
      </c>
      <c r="J250" s="288">
        <f t="shared" si="28"/>
        <v>533</v>
      </c>
      <c r="K250" s="287">
        <f t="shared" si="31"/>
        <v>5.33</v>
      </c>
      <c r="L250" s="287">
        <f t="shared" si="32"/>
        <v>5.3</v>
      </c>
      <c r="M250" s="287">
        <f t="shared" si="33"/>
        <v>530</v>
      </c>
      <c r="N250" s="280">
        <v>530</v>
      </c>
      <c r="O250" s="289">
        <f t="shared" si="29"/>
        <v>1.0433070866141732</v>
      </c>
    </row>
    <row r="251" spans="1:15" s="232" customFormat="1" ht="16.95" customHeight="1">
      <c r="A251" s="277">
        <v>220</v>
      </c>
      <c r="B251" s="282" t="s">
        <v>422</v>
      </c>
      <c r="C251" s="283" t="s">
        <v>423</v>
      </c>
      <c r="D251" s="284">
        <v>308</v>
      </c>
      <c r="E251" s="285">
        <f t="shared" si="34"/>
        <v>320</v>
      </c>
      <c r="F251" s="295">
        <f t="shared" si="35"/>
        <v>12</v>
      </c>
      <c r="G251" s="286">
        <v>1.0364</v>
      </c>
      <c r="H251" s="287">
        <f t="shared" si="30"/>
        <v>332</v>
      </c>
      <c r="I251" s="287">
        <f t="shared" si="27"/>
        <v>12</v>
      </c>
      <c r="J251" s="288">
        <f t="shared" si="28"/>
        <v>349</v>
      </c>
      <c r="K251" s="287">
        <f t="shared" si="31"/>
        <v>3.49</v>
      </c>
      <c r="L251" s="287">
        <f t="shared" si="32"/>
        <v>3.5</v>
      </c>
      <c r="M251" s="287">
        <f t="shared" si="33"/>
        <v>350</v>
      </c>
      <c r="N251" s="280">
        <v>350</v>
      </c>
      <c r="O251" s="289">
        <f t="shared" si="29"/>
        <v>1.0542168674698795</v>
      </c>
    </row>
    <row r="252" spans="1:15" s="232" customFormat="1" ht="16.95" customHeight="1">
      <c r="A252" s="277">
        <v>221</v>
      </c>
      <c r="B252" s="282" t="s">
        <v>424</v>
      </c>
      <c r="C252" s="283" t="s">
        <v>425</v>
      </c>
      <c r="D252" s="284">
        <v>162</v>
      </c>
      <c r="E252" s="285">
        <f t="shared" si="34"/>
        <v>170</v>
      </c>
      <c r="F252" s="295">
        <f t="shared" si="35"/>
        <v>8</v>
      </c>
      <c r="G252" s="286">
        <v>1.0364</v>
      </c>
      <c r="H252" s="287">
        <f t="shared" si="30"/>
        <v>176</v>
      </c>
      <c r="I252" s="287">
        <f t="shared" si="27"/>
        <v>6</v>
      </c>
      <c r="J252" s="288">
        <f t="shared" si="28"/>
        <v>185</v>
      </c>
      <c r="K252" s="287">
        <f t="shared" si="31"/>
        <v>1.85</v>
      </c>
      <c r="L252" s="287">
        <f t="shared" si="32"/>
        <v>1.9</v>
      </c>
      <c r="M252" s="287">
        <f t="shared" si="33"/>
        <v>190</v>
      </c>
      <c r="N252" s="280">
        <v>190</v>
      </c>
      <c r="O252" s="289">
        <f t="shared" si="29"/>
        <v>1.0795454545454546</v>
      </c>
    </row>
    <row r="253" spans="1:15" s="232" customFormat="1" ht="16.95" customHeight="1">
      <c r="A253" s="277">
        <v>222</v>
      </c>
      <c r="B253" s="282" t="s">
        <v>426</v>
      </c>
      <c r="C253" s="283" t="s">
        <v>427</v>
      </c>
      <c r="D253" s="284">
        <v>1263</v>
      </c>
      <c r="E253" s="285">
        <f t="shared" si="34"/>
        <v>1320</v>
      </c>
      <c r="F253" s="295">
        <f t="shared" si="35"/>
        <v>57</v>
      </c>
      <c r="G253" s="286">
        <v>1.0364</v>
      </c>
      <c r="H253" s="287">
        <f t="shared" si="30"/>
        <v>1368</v>
      </c>
      <c r="I253" s="287">
        <f t="shared" si="27"/>
        <v>48</v>
      </c>
      <c r="J253" s="288">
        <f t="shared" si="28"/>
        <v>1436</v>
      </c>
      <c r="K253" s="287">
        <f t="shared" si="31"/>
        <v>14.36</v>
      </c>
      <c r="L253" s="287">
        <f t="shared" si="32"/>
        <v>14.4</v>
      </c>
      <c r="M253" s="287">
        <f t="shared" si="33"/>
        <v>1440</v>
      </c>
      <c r="N253" s="280">
        <v>1440</v>
      </c>
      <c r="O253" s="289">
        <f t="shared" si="29"/>
        <v>1.0526315789473684</v>
      </c>
    </row>
    <row r="254" spans="1:15" s="232" customFormat="1" ht="16.95" customHeight="1">
      <c r="A254" s="277">
        <v>223</v>
      </c>
      <c r="B254" s="282" t="s">
        <v>428</v>
      </c>
      <c r="C254" s="283" t="s">
        <v>429</v>
      </c>
      <c r="D254" s="284">
        <v>2526</v>
      </c>
      <c r="E254" s="285">
        <f t="shared" si="34"/>
        <v>2630</v>
      </c>
      <c r="F254" s="295">
        <f t="shared" si="35"/>
        <v>104</v>
      </c>
      <c r="G254" s="286">
        <v>1.0364</v>
      </c>
      <c r="H254" s="287">
        <f t="shared" si="30"/>
        <v>2726</v>
      </c>
      <c r="I254" s="287">
        <f t="shared" si="27"/>
        <v>96</v>
      </c>
      <c r="J254" s="288">
        <f t="shared" si="28"/>
        <v>2862</v>
      </c>
      <c r="K254" s="287">
        <f t="shared" si="31"/>
        <v>28.62</v>
      </c>
      <c r="L254" s="287">
        <f t="shared" si="32"/>
        <v>28.6</v>
      </c>
      <c r="M254" s="287">
        <f t="shared" si="33"/>
        <v>2860</v>
      </c>
      <c r="N254" s="280">
        <v>2860</v>
      </c>
      <c r="O254" s="289">
        <f t="shared" si="29"/>
        <v>1.049156272927366</v>
      </c>
    </row>
    <row r="255" spans="1:15" s="232" customFormat="1" ht="16.95" customHeight="1">
      <c r="A255" s="277">
        <v>224</v>
      </c>
      <c r="B255" s="282" t="s">
        <v>430</v>
      </c>
      <c r="C255" s="283" t="s">
        <v>431</v>
      </c>
      <c r="D255" s="284">
        <v>632</v>
      </c>
      <c r="E255" s="285">
        <f t="shared" si="34"/>
        <v>660</v>
      </c>
      <c r="F255" s="295">
        <f t="shared" si="35"/>
        <v>28</v>
      </c>
      <c r="G255" s="286">
        <v>1.0364</v>
      </c>
      <c r="H255" s="287">
        <f t="shared" si="30"/>
        <v>684</v>
      </c>
      <c r="I255" s="287">
        <f t="shared" si="27"/>
        <v>24</v>
      </c>
      <c r="J255" s="288">
        <f t="shared" si="28"/>
        <v>718</v>
      </c>
      <c r="K255" s="287">
        <f t="shared" si="31"/>
        <v>7.18</v>
      </c>
      <c r="L255" s="287">
        <f t="shared" si="32"/>
        <v>7.2</v>
      </c>
      <c r="M255" s="287">
        <f t="shared" si="33"/>
        <v>720</v>
      </c>
      <c r="N255" s="280">
        <v>720</v>
      </c>
      <c r="O255" s="289">
        <f t="shared" si="29"/>
        <v>1.0526315789473684</v>
      </c>
    </row>
    <row r="256" spans="1:15" s="349" customFormat="1" ht="15.6">
      <c r="A256" s="345">
        <v>225</v>
      </c>
      <c r="B256" s="346" t="s">
        <v>432</v>
      </c>
      <c r="C256" s="347" t="s">
        <v>433</v>
      </c>
      <c r="D256" s="348">
        <v>0</v>
      </c>
    </row>
    <row r="257" spans="1:15" s="232" customFormat="1" ht="16.95" customHeight="1">
      <c r="A257" s="277">
        <v>226</v>
      </c>
      <c r="B257" s="282" t="s">
        <v>434</v>
      </c>
      <c r="C257" s="283" t="s">
        <v>435</v>
      </c>
      <c r="D257" s="284">
        <v>955</v>
      </c>
      <c r="E257" s="285">
        <f t="shared" si="34"/>
        <v>1000</v>
      </c>
      <c r="F257" s="295">
        <f t="shared" si="35"/>
        <v>45</v>
      </c>
      <c r="G257" s="286">
        <v>1.0364</v>
      </c>
      <c r="H257" s="287">
        <f t="shared" si="30"/>
        <v>1036</v>
      </c>
      <c r="I257" s="287">
        <f t="shared" si="27"/>
        <v>36</v>
      </c>
      <c r="J257" s="288">
        <f t="shared" si="28"/>
        <v>1088</v>
      </c>
      <c r="K257" s="287">
        <f t="shared" si="31"/>
        <v>10.88</v>
      </c>
      <c r="L257" s="287">
        <f t="shared" si="32"/>
        <v>10.9</v>
      </c>
      <c r="M257" s="287">
        <f t="shared" si="33"/>
        <v>1090</v>
      </c>
      <c r="N257" s="280">
        <v>1090</v>
      </c>
      <c r="O257" s="289">
        <f t="shared" si="29"/>
        <v>1.0521235521235521</v>
      </c>
    </row>
    <row r="258" spans="1:15" s="232" customFormat="1" ht="16.95" customHeight="1">
      <c r="A258" s="277">
        <v>227</v>
      </c>
      <c r="B258" s="282" t="s">
        <v>436</v>
      </c>
      <c r="C258" s="283" t="s">
        <v>437</v>
      </c>
      <c r="D258" s="284">
        <v>4039</v>
      </c>
      <c r="E258" s="285">
        <f t="shared" si="34"/>
        <v>4210</v>
      </c>
      <c r="F258" s="295">
        <f t="shared" si="35"/>
        <v>171</v>
      </c>
      <c r="G258" s="286">
        <v>1.0364</v>
      </c>
      <c r="H258" s="287">
        <f t="shared" si="30"/>
        <v>4363</v>
      </c>
      <c r="I258" s="287">
        <f t="shared" si="27"/>
        <v>153</v>
      </c>
      <c r="J258" s="288">
        <f t="shared" si="28"/>
        <v>4581</v>
      </c>
      <c r="K258" s="287">
        <f t="shared" si="31"/>
        <v>45.81</v>
      </c>
      <c r="L258" s="287">
        <f t="shared" si="32"/>
        <v>45.8</v>
      </c>
      <c r="M258" s="287">
        <f t="shared" si="33"/>
        <v>4580</v>
      </c>
      <c r="N258" s="280">
        <v>4580</v>
      </c>
      <c r="O258" s="289">
        <f t="shared" si="29"/>
        <v>1.049736419894568</v>
      </c>
    </row>
    <row r="259" spans="1:15" s="232" customFormat="1" ht="16.95" customHeight="1">
      <c r="A259" s="277">
        <v>228</v>
      </c>
      <c r="B259" s="282" t="s">
        <v>438</v>
      </c>
      <c r="C259" s="283" t="s">
        <v>439</v>
      </c>
      <c r="D259" s="284">
        <v>918</v>
      </c>
      <c r="E259" s="285">
        <f t="shared" si="34"/>
        <v>960</v>
      </c>
      <c r="F259" s="295">
        <f t="shared" si="35"/>
        <v>42</v>
      </c>
      <c r="G259" s="286">
        <v>1.0364</v>
      </c>
      <c r="H259" s="287">
        <f t="shared" si="30"/>
        <v>995</v>
      </c>
      <c r="I259" s="287">
        <f t="shared" si="27"/>
        <v>35</v>
      </c>
      <c r="J259" s="288">
        <f t="shared" si="28"/>
        <v>1045</v>
      </c>
      <c r="K259" s="287">
        <f t="shared" si="31"/>
        <v>10.45</v>
      </c>
      <c r="L259" s="287">
        <f t="shared" si="32"/>
        <v>10.5</v>
      </c>
      <c r="M259" s="287">
        <f t="shared" si="33"/>
        <v>1050</v>
      </c>
      <c r="N259" s="280">
        <v>1050</v>
      </c>
      <c r="O259" s="289">
        <f t="shared" si="29"/>
        <v>1.0552763819095476</v>
      </c>
    </row>
    <row r="260" spans="1:15" s="232" customFormat="1" ht="16.95" customHeight="1">
      <c r="A260" s="277">
        <v>229</v>
      </c>
      <c r="B260" s="282" t="s">
        <v>440</v>
      </c>
      <c r="C260" s="283" t="s">
        <v>441</v>
      </c>
      <c r="D260" s="284">
        <v>5508</v>
      </c>
      <c r="E260" s="285">
        <f t="shared" si="34"/>
        <v>5740</v>
      </c>
      <c r="F260" s="295">
        <f t="shared" si="35"/>
        <v>232</v>
      </c>
      <c r="G260" s="286">
        <v>1.0364</v>
      </c>
      <c r="H260" s="287">
        <f t="shared" si="30"/>
        <v>5949</v>
      </c>
      <c r="I260" s="287">
        <f t="shared" si="27"/>
        <v>209</v>
      </c>
      <c r="J260" s="288">
        <f t="shared" si="28"/>
        <v>6246</v>
      </c>
      <c r="K260" s="287">
        <f t="shared" si="31"/>
        <v>62.46</v>
      </c>
      <c r="L260" s="287">
        <f t="shared" si="32"/>
        <v>62.5</v>
      </c>
      <c r="M260" s="287">
        <f t="shared" si="33"/>
        <v>6250</v>
      </c>
      <c r="N260" s="280">
        <v>10000</v>
      </c>
      <c r="O260" s="289">
        <f t="shared" si="29"/>
        <v>1.6809547823163558</v>
      </c>
    </row>
    <row r="261" spans="1:15" s="232" customFormat="1" ht="16.95" customHeight="1">
      <c r="A261" s="277">
        <v>230</v>
      </c>
      <c r="B261" s="282" t="s">
        <v>442</v>
      </c>
      <c r="C261" s="283" t="s">
        <v>443</v>
      </c>
      <c r="D261" s="284">
        <v>734</v>
      </c>
      <c r="E261" s="285">
        <f t="shared" si="34"/>
        <v>770</v>
      </c>
      <c r="F261" s="295">
        <f t="shared" si="35"/>
        <v>36</v>
      </c>
      <c r="G261" s="286">
        <v>1.0364</v>
      </c>
      <c r="H261" s="287">
        <f t="shared" si="30"/>
        <v>798</v>
      </c>
      <c r="I261" s="287">
        <f t="shared" si="27"/>
        <v>28</v>
      </c>
      <c r="J261" s="288">
        <f t="shared" si="28"/>
        <v>838</v>
      </c>
      <c r="K261" s="287">
        <f t="shared" si="31"/>
        <v>8.3800000000000008</v>
      </c>
      <c r="L261" s="287">
        <f t="shared" si="32"/>
        <v>8.4</v>
      </c>
      <c r="M261" s="287">
        <f t="shared" si="33"/>
        <v>840</v>
      </c>
      <c r="N261" s="280">
        <v>840</v>
      </c>
      <c r="O261" s="289">
        <f t="shared" si="29"/>
        <v>1.0526315789473684</v>
      </c>
    </row>
    <row r="262" spans="1:15" s="232" customFormat="1" ht="16.95" customHeight="1">
      <c r="A262" s="277">
        <v>231</v>
      </c>
      <c r="B262" s="282" t="s">
        <v>444</v>
      </c>
      <c r="C262" s="283" t="s">
        <v>445</v>
      </c>
      <c r="D262" s="284">
        <v>235</v>
      </c>
      <c r="E262" s="285">
        <f t="shared" si="34"/>
        <v>250</v>
      </c>
      <c r="F262" s="295">
        <f t="shared" si="35"/>
        <v>15</v>
      </c>
      <c r="G262" s="286">
        <v>1.0364</v>
      </c>
      <c r="H262" s="287">
        <f t="shared" si="30"/>
        <v>259</v>
      </c>
      <c r="I262" s="287">
        <f t="shared" si="27"/>
        <v>9</v>
      </c>
      <c r="J262" s="288">
        <f t="shared" si="28"/>
        <v>272</v>
      </c>
      <c r="K262" s="287">
        <f t="shared" si="31"/>
        <v>2.72</v>
      </c>
      <c r="L262" s="287">
        <f t="shared" si="32"/>
        <v>2.7</v>
      </c>
      <c r="M262" s="287">
        <f t="shared" si="33"/>
        <v>270</v>
      </c>
      <c r="N262" s="280">
        <v>270</v>
      </c>
      <c r="O262" s="289">
        <f t="shared" si="29"/>
        <v>1.0424710424710424</v>
      </c>
    </row>
    <row r="263" spans="1:15" s="232" customFormat="1" ht="16.95" customHeight="1">
      <c r="A263" s="277">
        <v>232</v>
      </c>
      <c r="B263" s="282" t="s">
        <v>446</v>
      </c>
      <c r="C263" s="283" t="s">
        <v>447</v>
      </c>
      <c r="D263" s="284">
        <v>1425</v>
      </c>
      <c r="E263" s="285">
        <f t="shared" si="34"/>
        <v>1490</v>
      </c>
      <c r="F263" s="295">
        <f t="shared" si="35"/>
        <v>65</v>
      </c>
      <c r="G263" s="286">
        <v>1.0364</v>
      </c>
      <c r="H263" s="287">
        <f t="shared" si="30"/>
        <v>1544</v>
      </c>
      <c r="I263" s="287">
        <f t="shared" si="27"/>
        <v>54</v>
      </c>
      <c r="J263" s="288">
        <f t="shared" si="28"/>
        <v>1621</v>
      </c>
      <c r="K263" s="287">
        <f t="shared" si="31"/>
        <v>16.21</v>
      </c>
      <c r="L263" s="287">
        <f t="shared" si="32"/>
        <v>16.2</v>
      </c>
      <c r="M263" s="287">
        <f t="shared" si="33"/>
        <v>1620</v>
      </c>
      <c r="N263" s="280">
        <v>1620</v>
      </c>
      <c r="O263" s="289">
        <f t="shared" si="29"/>
        <v>1.0492227979274611</v>
      </c>
    </row>
    <row r="264" spans="1:15" s="232" customFormat="1" ht="16.95" customHeight="1">
      <c r="A264" s="277">
        <v>233</v>
      </c>
      <c r="B264" s="282" t="s">
        <v>448</v>
      </c>
      <c r="C264" s="283" t="s">
        <v>449</v>
      </c>
      <c r="D264" s="284">
        <v>793</v>
      </c>
      <c r="E264" s="285">
        <f t="shared" si="34"/>
        <v>830</v>
      </c>
      <c r="F264" s="295">
        <f t="shared" si="35"/>
        <v>37</v>
      </c>
      <c r="G264" s="286">
        <v>1.0364</v>
      </c>
      <c r="H264" s="287">
        <f t="shared" si="30"/>
        <v>860</v>
      </c>
      <c r="I264" s="287">
        <f t="shared" si="27"/>
        <v>30</v>
      </c>
      <c r="J264" s="288">
        <f t="shared" si="28"/>
        <v>903</v>
      </c>
      <c r="K264" s="287">
        <f t="shared" si="31"/>
        <v>9.0299999999999994</v>
      </c>
      <c r="L264" s="287">
        <f t="shared" si="32"/>
        <v>9</v>
      </c>
      <c r="M264" s="287">
        <f t="shared" si="33"/>
        <v>900</v>
      </c>
      <c r="N264" s="280">
        <v>900</v>
      </c>
      <c r="O264" s="289">
        <f t="shared" si="29"/>
        <v>1.0465116279069768</v>
      </c>
    </row>
    <row r="265" spans="1:15" s="232" customFormat="1" ht="16.95" customHeight="1">
      <c r="A265" s="277">
        <v>234</v>
      </c>
      <c r="B265" s="282" t="s">
        <v>450</v>
      </c>
      <c r="C265" s="283" t="s">
        <v>451</v>
      </c>
      <c r="D265" s="284">
        <v>3026</v>
      </c>
      <c r="E265" s="285">
        <f t="shared" si="34"/>
        <v>3160</v>
      </c>
      <c r="F265" s="295">
        <f t="shared" si="35"/>
        <v>134</v>
      </c>
      <c r="G265" s="286">
        <v>1.0364</v>
      </c>
      <c r="H265" s="287">
        <f t="shared" si="30"/>
        <v>3275</v>
      </c>
      <c r="I265" s="287">
        <f t="shared" si="27"/>
        <v>115</v>
      </c>
      <c r="J265" s="288">
        <f t="shared" si="28"/>
        <v>3439</v>
      </c>
      <c r="K265" s="287">
        <f t="shared" si="31"/>
        <v>34.39</v>
      </c>
      <c r="L265" s="287">
        <f t="shared" si="32"/>
        <v>34.4</v>
      </c>
      <c r="M265" s="287">
        <f t="shared" si="33"/>
        <v>3440</v>
      </c>
      <c r="N265" s="280">
        <v>3440</v>
      </c>
      <c r="O265" s="289">
        <f t="shared" si="29"/>
        <v>1.050381679389313</v>
      </c>
    </row>
    <row r="266" spans="1:15" s="232" customFormat="1" ht="16.95" customHeight="1">
      <c r="A266" s="277">
        <v>235</v>
      </c>
      <c r="B266" s="282" t="s">
        <v>452</v>
      </c>
      <c r="C266" s="283" t="s">
        <v>453</v>
      </c>
      <c r="D266" s="284">
        <v>1322</v>
      </c>
      <c r="E266" s="285">
        <f t="shared" si="34"/>
        <v>1380</v>
      </c>
      <c r="F266" s="295">
        <f t="shared" si="35"/>
        <v>58</v>
      </c>
      <c r="G266" s="286">
        <v>1.0364</v>
      </c>
      <c r="H266" s="287">
        <f t="shared" si="30"/>
        <v>1430</v>
      </c>
      <c r="I266" s="287">
        <f t="shared" si="27"/>
        <v>50</v>
      </c>
      <c r="J266" s="288">
        <f t="shared" si="28"/>
        <v>1502</v>
      </c>
      <c r="K266" s="287">
        <f t="shared" si="31"/>
        <v>15.02</v>
      </c>
      <c r="L266" s="287">
        <f t="shared" si="32"/>
        <v>15</v>
      </c>
      <c r="M266" s="287">
        <f t="shared" si="33"/>
        <v>1500</v>
      </c>
      <c r="N266" s="280">
        <v>1500</v>
      </c>
      <c r="O266" s="289">
        <f t="shared" si="29"/>
        <v>1.048951048951049</v>
      </c>
    </row>
    <row r="267" spans="1:15" s="232" customFormat="1" ht="16.95" customHeight="1">
      <c r="A267" s="277">
        <v>236</v>
      </c>
      <c r="B267" s="282" t="s">
        <v>454</v>
      </c>
      <c r="C267" s="283" t="s">
        <v>455</v>
      </c>
      <c r="D267" s="284">
        <v>88</v>
      </c>
      <c r="E267" s="285">
        <f t="shared" si="34"/>
        <v>90</v>
      </c>
      <c r="F267" s="295">
        <f t="shared" si="35"/>
        <v>2</v>
      </c>
      <c r="G267" s="286">
        <v>1.0364</v>
      </c>
      <c r="H267" s="287">
        <f t="shared" si="30"/>
        <v>93</v>
      </c>
      <c r="I267" s="287">
        <f t="shared" si="27"/>
        <v>3</v>
      </c>
      <c r="J267" s="288">
        <f t="shared" si="28"/>
        <v>98</v>
      </c>
      <c r="K267" s="287">
        <f t="shared" si="31"/>
        <v>0.98</v>
      </c>
      <c r="L267" s="287">
        <f t="shared" si="32"/>
        <v>1</v>
      </c>
      <c r="M267" s="287">
        <f t="shared" si="33"/>
        <v>100</v>
      </c>
      <c r="N267" s="280">
        <v>100</v>
      </c>
      <c r="O267" s="289">
        <f t="shared" si="29"/>
        <v>1.075268817204301</v>
      </c>
    </row>
    <row r="268" spans="1:15" s="232" customFormat="1" ht="16.95" customHeight="1">
      <c r="A268" s="277">
        <v>237</v>
      </c>
      <c r="B268" s="282" t="s">
        <v>456</v>
      </c>
      <c r="C268" s="283" t="s">
        <v>457</v>
      </c>
      <c r="D268" s="284">
        <v>132</v>
      </c>
      <c r="E268" s="285">
        <f t="shared" si="34"/>
        <v>140</v>
      </c>
      <c r="F268" s="295">
        <f t="shared" si="35"/>
        <v>8</v>
      </c>
      <c r="G268" s="286">
        <v>1.0364</v>
      </c>
      <c r="H268" s="287">
        <f t="shared" si="30"/>
        <v>145</v>
      </c>
      <c r="I268" s="287">
        <f t="shared" si="27"/>
        <v>5</v>
      </c>
      <c r="J268" s="288">
        <f t="shared" si="28"/>
        <v>152</v>
      </c>
      <c r="K268" s="287">
        <f t="shared" si="31"/>
        <v>1.52</v>
      </c>
      <c r="L268" s="287">
        <f t="shared" si="32"/>
        <v>1.5</v>
      </c>
      <c r="M268" s="287">
        <f t="shared" si="33"/>
        <v>150</v>
      </c>
      <c r="N268" s="280">
        <v>150</v>
      </c>
      <c r="O268" s="289">
        <f t="shared" si="29"/>
        <v>1.0344827586206897</v>
      </c>
    </row>
    <row r="269" spans="1:15" s="232" customFormat="1" ht="16.95" customHeight="1">
      <c r="A269" s="277">
        <v>238</v>
      </c>
      <c r="B269" s="282" t="s">
        <v>458</v>
      </c>
      <c r="C269" s="283" t="s">
        <v>459</v>
      </c>
      <c r="D269" s="284">
        <v>308</v>
      </c>
      <c r="E269" s="285">
        <f t="shared" si="34"/>
        <v>320</v>
      </c>
      <c r="F269" s="295">
        <f t="shared" si="35"/>
        <v>12</v>
      </c>
      <c r="G269" s="286">
        <v>1.0364</v>
      </c>
      <c r="H269" s="287">
        <f t="shared" si="30"/>
        <v>332</v>
      </c>
      <c r="I269" s="287">
        <f t="shared" si="27"/>
        <v>12</v>
      </c>
      <c r="J269" s="288">
        <f t="shared" si="28"/>
        <v>349</v>
      </c>
      <c r="K269" s="287">
        <f t="shared" si="31"/>
        <v>3.49</v>
      </c>
      <c r="L269" s="287">
        <f t="shared" si="32"/>
        <v>3.5</v>
      </c>
      <c r="M269" s="287">
        <f t="shared" si="33"/>
        <v>350</v>
      </c>
      <c r="N269" s="280">
        <v>350</v>
      </c>
      <c r="O269" s="289">
        <f t="shared" si="29"/>
        <v>1.0542168674698795</v>
      </c>
    </row>
    <row r="270" spans="1:15" s="232" customFormat="1" ht="16.95" customHeight="1">
      <c r="A270" s="277">
        <v>239</v>
      </c>
      <c r="B270" s="282" t="s">
        <v>460</v>
      </c>
      <c r="C270" s="283" t="s">
        <v>461</v>
      </c>
      <c r="D270" s="284">
        <v>3466</v>
      </c>
      <c r="E270" s="285">
        <f t="shared" si="34"/>
        <v>3620</v>
      </c>
      <c r="F270" s="295">
        <f t="shared" si="35"/>
        <v>154</v>
      </c>
      <c r="G270" s="286">
        <v>1.0364</v>
      </c>
      <c r="H270" s="287">
        <f t="shared" si="30"/>
        <v>3752</v>
      </c>
      <c r="I270" s="287">
        <f t="shared" si="27"/>
        <v>132</v>
      </c>
      <c r="J270" s="288">
        <f t="shared" si="28"/>
        <v>3940</v>
      </c>
      <c r="K270" s="287">
        <f t="shared" si="31"/>
        <v>39.4</v>
      </c>
      <c r="L270" s="287">
        <f t="shared" si="32"/>
        <v>39.4</v>
      </c>
      <c r="M270" s="287">
        <f t="shared" si="33"/>
        <v>3940</v>
      </c>
      <c r="N270" s="280">
        <v>3940</v>
      </c>
      <c r="O270" s="289">
        <f t="shared" si="29"/>
        <v>1.0501066098081024</v>
      </c>
    </row>
    <row r="271" spans="1:15" s="232" customFormat="1" ht="16.95" customHeight="1">
      <c r="A271" s="277">
        <v>240</v>
      </c>
      <c r="B271" s="282" t="s">
        <v>462</v>
      </c>
      <c r="C271" s="283" t="s">
        <v>463</v>
      </c>
      <c r="D271" s="284">
        <v>88</v>
      </c>
      <c r="E271" s="285">
        <f t="shared" si="34"/>
        <v>90</v>
      </c>
      <c r="F271" s="295">
        <f t="shared" si="35"/>
        <v>2</v>
      </c>
      <c r="G271" s="286">
        <v>1.0364</v>
      </c>
      <c r="H271" s="287">
        <f t="shared" si="30"/>
        <v>93</v>
      </c>
      <c r="I271" s="287">
        <f t="shared" si="27"/>
        <v>3</v>
      </c>
      <c r="J271" s="288">
        <f t="shared" si="28"/>
        <v>98</v>
      </c>
      <c r="K271" s="287">
        <f t="shared" si="31"/>
        <v>0.98</v>
      </c>
      <c r="L271" s="287">
        <f t="shared" si="32"/>
        <v>1</v>
      </c>
      <c r="M271" s="287">
        <f t="shared" si="33"/>
        <v>100</v>
      </c>
      <c r="N271" s="280">
        <v>100</v>
      </c>
      <c r="O271" s="289">
        <f t="shared" si="29"/>
        <v>1.075268817204301</v>
      </c>
    </row>
    <row r="272" spans="1:15" s="232" customFormat="1" ht="16.95" customHeight="1">
      <c r="A272" s="277">
        <v>241</v>
      </c>
      <c r="B272" s="282" t="s">
        <v>464</v>
      </c>
      <c r="C272" s="283" t="s">
        <v>465</v>
      </c>
      <c r="D272" s="284">
        <v>2526</v>
      </c>
      <c r="E272" s="285">
        <f t="shared" si="34"/>
        <v>2630</v>
      </c>
      <c r="F272" s="295">
        <f t="shared" si="35"/>
        <v>104</v>
      </c>
      <c r="G272" s="286">
        <v>1.0364</v>
      </c>
      <c r="H272" s="287">
        <f t="shared" si="30"/>
        <v>2726</v>
      </c>
      <c r="I272" s="287">
        <f t="shared" si="27"/>
        <v>96</v>
      </c>
      <c r="J272" s="288">
        <f t="shared" si="28"/>
        <v>2862</v>
      </c>
      <c r="K272" s="287">
        <f t="shared" si="31"/>
        <v>28.62</v>
      </c>
      <c r="L272" s="287">
        <f t="shared" si="32"/>
        <v>28.6</v>
      </c>
      <c r="M272" s="287">
        <f t="shared" si="33"/>
        <v>2860</v>
      </c>
      <c r="N272" s="280">
        <v>2860</v>
      </c>
      <c r="O272" s="289">
        <f t="shared" si="29"/>
        <v>1.049156272927366</v>
      </c>
    </row>
    <row r="273" spans="1:15" s="232" customFormat="1" ht="16.95" customHeight="1">
      <c r="A273" s="277">
        <v>242</v>
      </c>
      <c r="B273" s="282" t="s">
        <v>466</v>
      </c>
      <c r="C273" s="283" t="s">
        <v>467</v>
      </c>
      <c r="D273" s="284">
        <v>3158</v>
      </c>
      <c r="E273" s="285">
        <f t="shared" si="34"/>
        <v>3290</v>
      </c>
      <c r="F273" s="295">
        <f t="shared" si="35"/>
        <v>132</v>
      </c>
      <c r="G273" s="286">
        <v>1.0364</v>
      </c>
      <c r="H273" s="287">
        <f t="shared" si="30"/>
        <v>3410</v>
      </c>
      <c r="I273" s="287">
        <f t="shared" si="27"/>
        <v>120</v>
      </c>
      <c r="J273" s="288">
        <f t="shared" si="28"/>
        <v>3581</v>
      </c>
      <c r="K273" s="287">
        <f t="shared" si="31"/>
        <v>35.81</v>
      </c>
      <c r="L273" s="287">
        <f t="shared" si="32"/>
        <v>35.799999999999997</v>
      </c>
      <c r="M273" s="287">
        <f t="shared" si="33"/>
        <v>3579.9999999999995</v>
      </c>
      <c r="N273" s="280">
        <v>3579.9999999999995</v>
      </c>
      <c r="O273" s="289">
        <f t="shared" si="29"/>
        <v>1.0498533724340176</v>
      </c>
    </row>
    <row r="274" spans="1:15" s="232" customFormat="1" ht="16.95" customHeight="1">
      <c r="A274" s="277">
        <v>243</v>
      </c>
      <c r="B274" s="282" t="s">
        <v>468</v>
      </c>
      <c r="C274" s="283" t="s">
        <v>469</v>
      </c>
      <c r="D274" s="284">
        <v>470</v>
      </c>
      <c r="E274" s="285">
        <f t="shared" si="34"/>
        <v>490</v>
      </c>
      <c r="F274" s="295">
        <f t="shared" si="35"/>
        <v>20</v>
      </c>
      <c r="G274" s="286">
        <v>1.0364</v>
      </c>
      <c r="H274" s="287">
        <f t="shared" si="30"/>
        <v>508</v>
      </c>
      <c r="I274" s="287">
        <f t="shared" si="27"/>
        <v>18</v>
      </c>
      <c r="J274" s="288">
        <f t="shared" si="28"/>
        <v>533</v>
      </c>
      <c r="K274" s="287">
        <f t="shared" si="31"/>
        <v>5.33</v>
      </c>
      <c r="L274" s="287">
        <f t="shared" si="32"/>
        <v>5.3</v>
      </c>
      <c r="M274" s="287">
        <f t="shared" si="33"/>
        <v>530</v>
      </c>
      <c r="N274" s="280">
        <v>530</v>
      </c>
      <c r="O274" s="289">
        <f t="shared" si="29"/>
        <v>1.0433070866141732</v>
      </c>
    </row>
    <row r="275" spans="1:15" s="232" customFormat="1" ht="16.95" customHeight="1">
      <c r="A275" s="277">
        <v>244</v>
      </c>
      <c r="B275" s="282" t="s">
        <v>470</v>
      </c>
      <c r="C275" s="283" t="s">
        <v>471</v>
      </c>
      <c r="D275" s="284">
        <v>2526</v>
      </c>
      <c r="E275" s="285">
        <f t="shared" si="34"/>
        <v>2630</v>
      </c>
      <c r="F275" s="295">
        <f t="shared" si="35"/>
        <v>104</v>
      </c>
      <c r="G275" s="286">
        <v>1.0364</v>
      </c>
      <c r="H275" s="287">
        <f t="shared" si="30"/>
        <v>2726</v>
      </c>
      <c r="I275" s="287">
        <f t="shared" si="27"/>
        <v>96</v>
      </c>
      <c r="J275" s="288">
        <f t="shared" si="28"/>
        <v>2862</v>
      </c>
      <c r="K275" s="287">
        <f t="shared" si="31"/>
        <v>28.62</v>
      </c>
      <c r="L275" s="287">
        <f t="shared" si="32"/>
        <v>28.6</v>
      </c>
      <c r="M275" s="287">
        <f t="shared" si="33"/>
        <v>2860</v>
      </c>
      <c r="N275" s="280">
        <v>2860</v>
      </c>
      <c r="O275" s="289">
        <f t="shared" si="29"/>
        <v>1.049156272927366</v>
      </c>
    </row>
    <row r="276" spans="1:15" s="232" customFormat="1" ht="16.95" customHeight="1">
      <c r="A276" s="277">
        <v>245</v>
      </c>
      <c r="B276" s="282" t="s">
        <v>472</v>
      </c>
      <c r="C276" s="283" t="s">
        <v>473</v>
      </c>
      <c r="D276" s="284">
        <v>632</v>
      </c>
      <c r="E276" s="285">
        <f t="shared" si="34"/>
        <v>660</v>
      </c>
      <c r="F276" s="295">
        <f t="shared" si="35"/>
        <v>28</v>
      </c>
      <c r="G276" s="286">
        <v>1.0364</v>
      </c>
      <c r="H276" s="287">
        <f t="shared" si="30"/>
        <v>684</v>
      </c>
      <c r="I276" s="287">
        <f t="shared" si="27"/>
        <v>24</v>
      </c>
      <c r="J276" s="288">
        <f t="shared" si="28"/>
        <v>718</v>
      </c>
      <c r="K276" s="287">
        <f t="shared" si="31"/>
        <v>7.18</v>
      </c>
      <c r="L276" s="287">
        <f t="shared" si="32"/>
        <v>7.2</v>
      </c>
      <c r="M276" s="287">
        <f t="shared" si="33"/>
        <v>720</v>
      </c>
      <c r="N276" s="280">
        <v>720</v>
      </c>
      <c r="O276" s="289">
        <f t="shared" si="29"/>
        <v>1.0526315789473684</v>
      </c>
    </row>
    <row r="277" spans="1:15" s="232" customFormat="1" ht="16.95" customHeight="1">
      <c r="A277" s="277">
        <v>246</v>
      </c>
      <c r="B277" s="282" t="s">
        <v>474</v>
      </c>
      <c r="C277" s="283" t="s">
        <v>475</v>
      </c>
      <c r="D277" s="284">
        <v>59</v>
      </c>
      <c r="E277" s="285">
        <f t="shared" si="34"/>
        <v>60</v>
      </c>
      <c r="F277" s="295">
        <f t="shared" si="35"/>
        <v>1</v>
      </c>
      <c r="G277" s="286">
        <v>1.0364</v>
      </c>
      <c r="H277" s="287">
        <f t="shared" si="30"/>
        <v>62</v>
      </c>
      <c r="I277" s="287">
        <f t="shared" si="27"/>
        <v>2</v>
      </c>
      <c r="J277" s="288">
        <f t="shared" si="28"/>
        <v>65</v>
      </c>
      <c r="K277" s="287">
        <f t="shared" si="31"/>
        <v>0.65</v>
      </c>
      <c r="L277" s="287">
        <f t="shared" si="32"/>
        <v>0.7</v>
      </c>
      <c r="M277" s="287">
        <f t="shared" si="33"/>
        <v>70</v>
      </c>
      <c r="N277" s="280">
        <v>70</v>
      </c>
      <c r="O277" s="289">
        <f t="shared" si="29"/>
        <v>1.1290322580645162</v>
      </c>
    </row>
    <row r="278" spans="1:15" s="232" customFormat="1" ht="16.95" customHeight="1">
      <c r="A278" s="277">
        <v>247</v>
      </c>
      <c r="B278" s="282" t="s">
        <v>476</v>
      </c>
      <c r="C278" s="283" t="s">
        <v>477</v>
      </c>
      <c r="D278" s="284">
        <v>235</v>
      </c>
      <c r="E278" s="285">
        <f t="shared" si="34"/>
        <v>250</v>
      </c>
      <c r="F278" s="295">
        <f t="shared" si="35"/>
        <v>15</v>
      </c>
      <c r="G278" s="286">
        <v>1.0364</v>
      </c>
      <c r="H278" s="287">
        <f t="shared" si="30"/>
        <v>259</v>
      </c>
      <c r="I278" s="287">
        <f t="shared" si="27"/>
        <v>9</v>
      </c>
      <c r="J278" s="288">
        <f t="shared" si="28"/>
        <v>272</v>
      </c>
      <c r="K278" s="287">
        <f t="shared" si="31"/>
        <v>2.72</v>
      </c>
      <c r="L278" s="287">
        <f t="shared" si="32"/>
        <v>2.7</v>
      </c>
      <c r="M278" s="287">
        <f t="shared" si="33"/>
        <v>270</v>
      </c>
      <c r="N278" s="280">
        <v>270</v>
      </c>
      <c r="O278" s="289">
        <f t="shared" si="29"/>
        <v>1.0424710424710424</v>
      </c>
    </row>
    <row r="279" spans="1:15" s="232" customFormat="1" ht="16.95" customHeight="1">
      <c r="A279" s="277">
        <v>248</v>
      </c>
      <c r="B279" s="282" t="s">
        <v>478</v>
      </c>
      <c r="C279" s="283" t="s">
        <v>479</v>
      </c>
      <c r="D279" s="284">
        <v>470</v>
      </c>
      <c r="E279" s="285">
        <f t="shared" si="34"/>
        <v>490</v>
      </c>
      <c r="F279" s="295">
        <f t="shared" si="35"/>
        <v>20</v>
      </c>
      <c r="G279" s="286">
        <v>1.0364</v>
      </c>
      <c r="H279" s="287">
        <f t="shared" si="30"/>
        <v>508</v>
      </c>
      <c r="I279" s="287">
        <f t="shared" si="27"/>
        <v>18</v>
      </c>
      <c r="J279" s="288">
        <f t="shared" si="28"/>
        <v>533</v>
      </c>
      <c r="K279" s="287">
        <f t="shared" si="31"/>
        <v>5.33</v>
      </c>
      <c r="L279" s="287">
        <f t="shared" si="32"/>
        <v>5.3</v>
      </c>
      <c r="M279" s="287">
        <f t="shared" si="33"/>
        <v>530</v>
      </c>
      <c r="N279" s="280">
        <v>530</v>
      </c>
      <c r="O279" s="289">
        <f t="shared" si="29"/>
        <v>1.0433070866141732</v>
      </c>
    </row>
    <row r="280" spans="1:15" s="232" customFormat="1" ht="16.95" customHeight="1">
      <c r="A280" s="277">
        <v>249</v>
      </c>
      <c r="B280" s="282" t="s">
        <v>480</v>
      </c>
      <c r="C280" s="283" t="s">
        <v>481</v>
      </c>
      <c r="D280" s="284">
        <v>470</v>
      </c>
      <c r="E280" s="285">
        <f t="shared" si="34"/>
        <v>490</v>
      </c>
      <c r="F280" s="295">
        <f t="shared" si="35"/>
        <v>20</v>
      </c>
      <c r="G280" s="286">
        <v>1.0364</v>
      </c>
      <c r="H280" s="287">
        <f t="shared" si="30"/>
        <v>508</v>
      </c>
      <c r="I280" s="287">
        <f t="shared" si="27"/>
        <v>18</v>
      </c>
      <c r="J280" s="288">
        <f t="shared" si="28"/>
        <v>533</v>
      </c>
      <c r="K280" s="287">
        <f t="shared" si="31"/>
        <v>5.33</v>
      </c>
      <c r="L280" s="287">
        <f t="shared" si="32"/>
        <v>5.3</v>
      </c>
      <c r="M280" s="287">
        <f t="shared" si="33"/>
        <v>530</v>
      </c>
      <c r="N280" s="280">
        <v>530</v>
      </c>
      <c r="O280" s="289">
        <f t="shared" si="29"/>
        <v>1.0433070866141732</v>
      </c>
    </row>
    <row r="281" spans="1:15" s="232" customFormat="1" ht="16.95" customHeight="1">
      <c r="A281" s="277">
        <v>250</v>
      </c>
      <c r="B281" s="282" t="s">
        <v>482</v>
      </c>
      <c r="C281" s="283" t="s">
        <v>483</v>
      </c>
      <c r="D281" s="284">
        <v>470</v>
      </c>
      <c r="E281" s="285">
        <f t="shared" si="34"/>
        <v>490</v>
      </c>
      <c r="F281" s="295">
        <f t="shared" si="35"/>
        <v>20</v>
      </c>
      <c r="G281" s="286">
        <v>1.0364</v>
      </c>
      <c r="H281" s="287">
        <f t="shared" si="30"/>
        <v>508</v>
      </c>
      <c r="I281" s="287">
        <f t="shared" si="27"/>
        <v>18</v>
      </c>
      <c r="J281" s="288">
        <f t="shared" si="28"/>
        <v>533</v>
      </c>
      <c r="K281" s="287">
        <f t="shared" si="31"/>
        <v>5.33</v>
      </c>
      <c r="L281" s="287">
        <f t="shared" si="32"/>
        <v>5.3</v>
      </c>
      <c r="M281" s="287">
        <f t="shared" si="33"/>
        <v>530</v>
      </c>
      <c r="N281" s="280">
        <v>530</v>
      </c>
      <c r="O281" s="289">
        <f t="shared" si="29"/>
        <v>1.0433070866141732</v>
      </c>
    </row>
    <row r="282" spans="1:15" s="232" customFormat="1" ht="16.95" customHeight="1">
      <c r="A282" s="277">
        <v>251</v>
      </c>
      <c r="B282" s="282" t="s">
        <v>484</v>
      </c>
      <c r="C282" s="283" t="s">
        <v>485</v>
      </c>
      <c r="D282" s="284">
        <v>3158</v>
      </c>
      <c r="E282" s="285">
        <f t="shared" si="34"/>
        <v>3290</v>
      </c>
      <c r="F282" s="295">
        <f t="shared" si="35"/>
        <v>132</v>
      </c>
      <c r="G282" s="286">
        <v>1.0364</v>
      </c>
      <c r="H282" s="287">
        <f t="shared" si="30"/>
        <v>3410</v>
      </c>
      <c r="I282" s="287">
        <f t="shared" si="27"/>
        <v>120</v>
      </c>
      <c r="J282" s="288">
        <f t="shared" si="28"/>
        <v>3581</v>
      </c>
      <c r="K282" s="287">
        <f t="shared" si="31"/>
        <v>35.81</v>
      </c>
      <c r="L282" s="287">
        <f t="shared" si="32"/>
        <v>35.799999999999997</v>
      </c>
      <c r="M282" s="287">
        <f t="shared" si="33"/>
        <v>3579.9999999999995</v>
      </c>
      <c r="N282" s="280">
        <v>3579.9999999999995</v>
      </c>
      <c r="O282" s="289">
        <f t="shared" si="29"/>
        <v>1.0498533724340176</v>
      </c>
    </row>
    <row r="283" spans="1:15" s="232" customFormat="1" ht="16.95" customHeight="1">
      <c r="A283" s="277">
        <v>252</v>
      </c>
      <c r="B283" s="282" t="s">
        <v>486</v>
      </c>
      <c r="C283" s="283" t="s">
        <v>487</v>
      </c>
      <c r="D283" s="284">
        <v>308</v>
      </c>
      <c r="E283" s="285">
        <f t="shared" si="34"/>
        <v>320</v>
      </c>
      <c r="F283" s="295">
        <f t="shared" si="35"/>
        <v>12</v>
      </c>
      <c r="G283" s="286">
        <v>1.0364</v>
      </c>
      <c r="H283" s="287">
        <f t="shared" si="30"/>
        <v>332</v>
      </c>
      <c r="I283" s="287">
        <f t="shared" ref="I283:I347" si="36">H283-E283</f>
        <v>12</v>
      </c>
      <c r="J283" s="288">
        <f t="shared" ref="J283:J346" si="37">ROUND(H283*1.05, 0)</f>
        <v>349</v>
      </c>
      <c r="K283" s="287">
        <f t="shared" si="31"/>
        <v>3.49</v>
      </c>
      <c r="L283" s="287">
        <f t="shared" si="32"/>
        <v>3.5</v>
      </c>
      <c r="M283" s="287">
        <f t="shared" si="33"/>
        <v>350</v>
      </c>
      <c r="N283" s="280">
        <v>350</v>
      </c>
      <c r="O283" s="289">
        <f t="shared" ref="O283:O346" si="38">N283/H283</f>
        <v>1.0542168674698795</v>
      </c>
    </row>
    <row r="284" spans="1:15" s="232" customFormat="1" ht="16.95" customHeight="1">
      <c r="A284" s="277">
        <v>253</v>
      </c>
      <c r="B284" s="282" t="s">
        <v>488</v>
      </c>
      <c r="C284" s="283" t="s">
        <v>489</v>
      </c>
      <c r="D284" s="284">
        <v>2526</v>
      </c>
      <c r="E284" s="285">
        <f t="shared" si="34"/>
        <v>2630</v>
      </c>
      <c r="F284" s="295">
        <f t="shared" si="35"/>
        <v>104</v>
      </c>
      <c r="G284" s="286">
        <v>1.0364</v>
      </c>
      <c r="H284" s="287">
        <f t="shared" ref="H284:H348" si="39">ROUND(E284*G284, 0)</f>
        <v>2726</v>
      </c>
      <c r="I284" s="287">
        <f t="shared" si="36"/>
        <v>96</v>
      </c>
      <c r="J284" s="288">
        <f t="shared" si="37"/>
        <v>2862</v>
      </c>
      <c r="K284" s="287">
        <f t="shared" ref="K284:K347" si="40">J284/100</f>
        <v>28.62</v>
      </c>
      <c r="L284" s="287">
        <f t="shared" ref="L284:L347" si="41">ROUND(K284,1)</f>
        <v>28.6</v>
      </c>
      <c r="M284" s="287">
        <f t="shared" ref="M284:M347" si="42">L284*100</f>
        <v>2860</v>
      </c>
      <c r="N284" s="280">
        <v>2860</v>
      </c>
      <c r="O284" s="289">
        <f t="shared" si="38"/>
        <v>1.049156272927366</v>
      </c>
    </row>
    <row r="285" spans="1:15" s="232" customFormat="1" ht="16.95" customHeight="1">
      <c r="A285" s="277">
        <v>254</v>
      </c>
      <c r="B285" s="282" t="s">
        <v>430</v>
      </c>
      <c r="C285" s="283" t="s">
        <v>353</v>
      </c>
      <c r="D285" s="284">
        <v>490</v>
      </c>
      <c r="E285" s="285">
        <f t="shared" si="34"/>
        <v>510</v>
      </c>
      <c r="F285" s="295">
        <f t="shared" si="35"/>
        <v>20</v>
      </c>
      <c r="G285" s="286">
        <v>1.0364</v>
      </c>
      <c r="H285" s="287">
        <f t="shared" si="39"/>
        <v>529</v>
      </c>
      <c r="I285" s="287">
        <f t="shared" si="36"/>
        <v>19</v>
      </c>
      <c r="J285" s="288">
        <f t="shared" si="37"/>
        <v>555</v>
      </c>
      <c r="K285" s="287">
        <f t="shared" si="40"/>
        <v>5.55</v>
      </c>
      <c r="L285" s="287">
        <f t="shared" si="41"/>
        <v>5.6</v>
      </c>
      <c r="M285" s="287">
        <f t="shared" si="42"/>
        <v>560</v>
      </c>
      <c r="N285" s="280">
        <v>560</v>
      </c>
      <c r="O285" s="289">
        <f t="shared" si="38"/>
        <v>1.0586011342155008</v>
      </c>
    </row>
    <row r="286" spans="1:15" s="232" customFormat="1" ht="16.95" customHeight="1">
      <c r="A286" s="277">
        <v>255</v>
      </c>
      <c r="B286" s="282" t="s">
        <v>490</v>
      </c>
      <c r="C286" s="283" t="s">
        <v>491</v>
      </c>
      <c r="D286" s="284">
        <v>103</v>
      </c>
      <c r="E286" s="285">
        <f t="shared" si="34"/>
        <v>110</v>
      </c>
      <c r="F286" s="295">
        <f t="shared" si="35"/>
        <v>7</v>
      </c>
      <c r="G286" s="286">
        <v>1.0364</v>
      </c>
      <c r="H286" s="287">
        <f t="shared" si="39"/>
        <v>114</v>
      </c>
      <c r="I286" s="287">
        <f t="shared" si="36"/>
        <v>4</v>
      </c>
      <c r="J286" s="288">
        <f t="shared" si="37"/>
        <v>120</v>
      </c>
      <c r="K286" s="287">
        <f t="shared" si="40"/>
        <v>1.2</v>
      </c>
      <c r="L286" s="287">
        <f t="shared" si="41"/>
        <v>1.2</v>
      </c>
      <c r="M286" s="287">
        <f t="shared" si="42"/>
        <v>120</v>
      </c>
      <c r="N286" s="280">
        <v>120</v>
      </c>
      <c r="O286" s="289">
        <f t="shared" si="38"/>
        <v>1.0526315789473684</v>
      </c>
    </row>
    <row r="287" spans="1:15" s="232" customFormat="1" ht="16.95" customHeight="1">
      <c r="A287" s="277">
        <v>256</v>
      </c>
      <c r="B287" s="282" t="s">
        <v>492</v>
      </c>
      <c r="C287" s="283" t="s">
        <v>493</v>
      </c>
      <c r="D287" s="284">
        <v>1498</v>
      </c>
      <c r="E287" s="285">
        <f t="shared" si="34"/>
        <v>1560</v>
      </c>
      <c r="F287" s="295">
        <f t="shared" si="35"/>
        <v>62</v>
      </c>
      <c r="G287" s="286">
        <v>1.0364</v>
      </c>
      <c r="H287" s="287">
        <f t="shared" si="39"/>
        <v>1617</v>
      </c>
      <c r="I287" s="287">
        <f t="shared" si="36"/>
        <v>57</v>
      </c>
      <c r="J287" s="288">
        <f t="shared" si="37"/>
        <v>1698</v>
      </c>
      <c r="K287" s="287">
        <f t="shared" si="40"/>
        <v>16.98</v>
      </c>
      <c r="L287" s="287">
        <f t="shared" si="41"/>
        <v>17</v>
      </c>
      <c r="M287" s="287">
        <f t="shared" si="42"/>
        <v>1700</v>
      </c>
      <c r="N287" s="280">
        <v>1700</v>
      </c>
      <c r="O287" s="289">
        <f t="shared" si="38"/>
        <v>1.0513296227581941</v>
      </c>
    </row>
    <row r="288" spans="1:15" s="232" customFormat="1" ht="16.95" customHeight="1">
      <c r="A288" s="277">
        <v>257</v>
      </c>
      <c r="B288" s="282" t="s">
        <v>494</v>
      </c>
      <c r="C288" s="283" t="s">
        <v>495</v>
      </c>
      <c r="D288" s="284">
        <v>764</v>
      </c>
      <c r="E288" s="285">
        <f t="shared" si="34"/>
        <v>800</v>
      </c>
      <c r="F288" s="295">
        <f t="shared" si="35"/>
        <v>36</v>
      </c>
      <c r="G288" s="286">
        <v>1.0364</v>
      </c>
      <c r="H288" s="287">
        <f t="shared" si="39"/>
        <v>829</v>
      </c>
      <c r="I288" s="287">
        <f t="shared" si="36"/>
        <v>29</v>
      </c>
      <c r="J288" s="288">
        <f t="shared" si="37"/>
        <v>870</v>
      </c>
      <c r="K288" s="287">
        <f t="shared" si="40"/>
        <v>8.6999999999999993</v>
      </c>
      <c r="L288" s="287">
        <f t="shared" si="41"/>
        <v>8.6999999999999993</v>
      </c>
      <c r="M288" s="287">
        <f t="shared" si="42"/>
        <v>869.99999999999989</v>
      </c>
      <c r="N288" s="280">
        <v>869.99999999999989</v>
      </c>
      <c r="O288" s="289">
        <f t="shared" si="38"/>
        <v>1.0494571773220747</v>
      </c>
    </row>
    <row r="289" spans="1:15" s="232" customFormat="1" ht="16.95" customHeight="1">
      <c r="A289" s="277">
        <v>258</v>
      </c>
      <c r="B289" s="282" t="s">
        <v>496</v>
      </c>
      <c r="C289" s="283" t="s">
        <v>497</v>
      </c>
      <c r="D289" s="284">
        <v>308</v>
      </c>
      <c r="E289" s="285">
        <f t="shared" si="34"/>
        <v>320</v>
      </c>
      <c r="F289" s="295">
        <f t="shared" si="35"/>
        <v>12</v>
      </c>
      <c r="G289" s="286">
        <v>1.0364</v>
      </c>
      <c r="H289" s="287">
        <f t="shared" si="39"/>
        <v>332</v>
      </c>
      <c r="I289" s="287">
        <f t="shared" si="36"/>
        <v>12</v>
      </c>
      <c r="J289" s="288">
        <f t="shared" si="37"/>
        <v>349</v>
      </c>
      <c r="K289" s="287">
        <f t="shared" si="40"/>
        <v>3.49</v>
      </c>
      <c r="L289" s="287">
        <f t="shared" si="41"/>
        <v>3.5</v>
      </c>
      <c r="M289" s="287">
        <f t="shared" si="42"/>
        <v>350</v>
      </c>
      <c r="N289" s="280">
        <v>350</v>
      </c>
      <c r="O289" s="289">
        <f t="shared" si="38"/>
        <v>1.0542168674698795</v>
      </c>
    </row>
    <row r="290" spans="1:15" s="232" customFormat="1" ht="16.95" customHeight="1">
      <c r="A290" s="277">
        <v>259</v>
      </c>
      <c r="B290" s="282" t="s">
        <v>498</v>
      </c>
      <c r="C290" s="283" t="s">
        <v>499</v>
      </c>
      <c r="D290" s="284">
        <v>867</v>
      </c>
      <c r="E290" s="285">
        <f t="shared" si="34"/>
        <v>900</v>
      </c>
      <c r="F290" s="295">
        <f t="shared" si="35"/>
        <v>33</v>
      </c>
      <c r="G290" s="286">
        <v>1.0364</v>
      </c>
      <c r="H290" s="287">
        <f t="shared" si="39"/>
        <v>933</v>
      </c>
      <c r="I290" s="287">
        <f t="shared" si="36"/>
        <v>33</v>
      </c>
      <c r="J290" s="288">
        <f t="shared" si="37"/>
        <v>980</v>
      </c>
      <c r="K290" s="287">
        <f t="shared" si="40"/>
        <v>9.8000000000000007</v>
      </c>
      <c r="L290" s="287">
        <f t="shared" si="41"/>
        <v>9.8000000000000007</v>
      </c>
      <c r="M290" s="287">
        <f t="shared" si="42"/>
        <v>980.00000000000011</v>
      </c>
      <c r="N290" s="280">
        <v>980.00000000000011</v>
      </c>
      <c r="O290" s="289">
        <f t="shared" si="38"/>
        <v>1.0503751339764202</v>
      </c>
    </row>
    <row r="291" spans="1:15" s="232" customFormat="1" ht="16.95" customHeight="1">
      <c r="A291" s="277">
        <v>260</v>
      </c>
      <c r="B291" s="282" t="s">
        <v>500</v>
      </c>
      <c r="C291" s="283" t="s">
        <v>501</v>
      </c>
      <c r="D291" s="284">
        <v>705</v>
      </c>
      <c r="E291" s="285">
        <f t="shared" si="34"/>
        <v>740</v>
      </c>
      <c r="F291" s="295">
        <f t="shared" si="35"/>
        <v>35</v>
      </c>
      <c r="G291" s="286">
        <v>1.0364</v>
      </c>
      <c r="H291" s="287">
        <f t="shared" si="39"/>
        <v>767</v>
      </c>
      <c r="I291" s="287">
        <f t="shared" si="36"/>
        <v>27</v>
      </c>
      <c r="J291" s="288">
        <f t="shared" si="37"/>
        <v>805</v>
      </c>
      <c r="K291" s="287">
        <f t="shared" si="40"/>
        <v>8.0500000000000007</v>
      </c>
      <c r="L291" s="287">
        <f t="shared" si="41"/>
        <v>8.1</v>
      </c>
      <c r="M291" s="287">
        <f t="shared" si="42"/>
        <v>810</v>
      </c>
      <c r="N291" s="280">
        <v>810</v>
      </c>
      <c r="O291" s="289">
        <f t="shared" si="38"/>
        <v>1.0560625814863103</v>
      </c>
    </row>
    <row r="292" spans="1:15" s="232" customFormat="1" ht="16.95" customHeight="1">
      <c r="A292" s="277">
        <v>261</v>
      </c>
      <c r="B292" s="282" t="s">
        <v>502</v>
      </c>
      <c r="C292" s="283" t="s">
        <v>503</v>
      </c>
      <c r="D292" s="284">
        <v>1102</v>
      </c>
      <c r="E292" s="285">
        <f t="shared" si="34"/>
        <v>1150</v>
      </c>
      <c r="F292" s="295">
        <f t="shared" si="35"/>
        <v>48</v>
      </c>
      <c r="G292" s="286">
        <v>1.0364</v>
      </c>
      <c r="H292" s="287">
        <f t="shared" si="39"/>
        <v>1192</v>
      </c>
      <c r="I292" s="287">
        <f t="shared" si="36"/>
        <v>42</v>
      </c>
      <c r="J292" s="288">
        <f t="shared" si="37"/>
        <v>1252</v>
      </c>
      <c r="K292" s="287">
        <f t="shared" si="40"/>
        <v>12.52</v>
      </c>
      <c r="L292" s="287">
        <f t="shared" si="41"/>
        <v>12.5</v>
      </c>
      <c r="M292" s="287">
        <f t="shared" si="42"/>
        <v>1250</v>
      </c>
      <c r="N292" s="280">
        <v>1250</v>
      </c>
      <c r="O292" s="289">
        <f t="shared" si="38"/>
        <v>1.0486577181208054</v>
      </c>
    </row>
    <row r="293" spans="1:15" s="232" customFormat="1" ht="16.95" customHeight="1">
      <c r="A293" s="277">
        <v>262</v>
      </c>
      <c r="B293" s="282" t="s">
        <v>504</v>
      </c>
      <c r="C293" s="283" t="s">
        <v>505</v>
      </c>
      <c r="D293" s="284">
        <v>1572</v>
      </c>
      <c r="E293" s="285">
        <f t="shared" ref="E293:E339" si="43">ROUND(D293*1.043/10,0)*10</f>
        <v>1640</v>
      </c>
      <c r="F293" s="295">
        <f t="shared" ref="F293:F339" si="44">E293-D293</f>
        <v>68</v>
      </c>
      <c r="G293" s="286">
        <v>1.0364</v>
      </c>
      <c r="H293" s="287">
        <f t="shared" si="39"/>
        <v>1700</v>
      </c>
      <c r="I293" s="287">
        <f t="shared" si="36"/>
        <v>60</v>
      </c>
      <c r="J293" s="288">
        <f t="shared" si="37"/>
        <v>1785</v>
      </c>
      <c r="K293" s="287">
        <f t="shared" si="40"/>
        <v>17.850000000000001</v>
      </c>
      <c r="L293" s="287">
        <f t="shared" si="41"/>
        <v>17.899999999999999</v>
      </c>
      <c r="M293" s="287">
        <f t="shared" si="42"/>
        <v>1789.9999999999998</v>
      </c>
      <c r="N293" s="280">
        <v>1789.9999999999998</v>
      </c>
      <c r="O293" s="289">
        <f t="shared" si="38"/>
        <v>1.052941176470588</v>
      </c>
    </row>
    <row r="294" spans="1:15" s="232" customFormat="1" ht="16.95" customHeight="1">
      <c r="A294" s="277">
        <v>263</v>
      </c>
      <c r="B294" s="282" t="s">
        <v>506</v>
      </c>
      <c r="C294" s="283" t="s">
        <v>507</v>
      </c>
      <c r="D294" s="284">
        <v>793</v>
      </c>
      <c r="E294" s="285">
        <f t="shared" si="43"/>
        <v>830</v>
      </c>
      <c r="F294" s="295">
        <f t="shared" si="44"/>
        <v>37</v>
      </c>
      <c r="G294" s="286">
        <v>1.0364</v>
      </c>
      <c r="H294" s="287">
        <f t="shared" si="39"/>
        <v>860</v>
      </c>
      <c r="I294" s="287">
        <f t="shared" si="36"/>
        <v>30</v>
      </c>
      <c r="J294" s="288">
        <f t="shared" si="37"/>
        <v>903</v>
      </c>
      <c r="K294" s="287">
        <f t="shared" si="40"/>
        <v>9.0299999999999994</v>
      </c>
      <c r="L294" s="287">
        <f t="shared" si="41"/>
        <v>9</v>
      </c>
      <c r="M294" s="287">
        <f t="shared" si="42"/>
        <v>900</v>
      </c>
      <c r="N294" s="280">
        <v>900</v>
      </c>
      <c r="O294" s="289">
        <f t="shared" si="38"/>
        <v>1.0465116279069768</v>
      </c>
    </row>
    <row r="295" spans="1:15" s="232" customFormat="1" ht="16.95" customHeight="1">
      <c r="A295" s="277">
        <v>264</v>
      </c>
      <c r="B295" s="282" t="s">
        <v>508</v>
      </c>
      <c r="C295" s="283" t="s">
        <v>509</v>
      </c>
      <c r="D295" s="284">
        <v>6426</v>
      </c>
      <c r="E295" s="285">
        <f t="shared" si="43"/>
        <v>6700</v>
      </c>
      <c r="F295" s="295">
        <f t="shared" si="44"/>
        <v>274</v>
      </c>
      <c r="G295" s="286">
        <v>1.0364</v>
      </c>
      <c r="H295" s="287">
        <f t="shared" si="39"/>
        <v>6944</v>
      </c>
      <c r="I295" s="287">
        <f t="shared" si="36"/>
        <v>244</v>
      </c>
      <c r="J295" s="288">
        <f t="shared" si="37"/>
        <v>7291</v>
      </c>
      <c r="K295" s="287">
        <f t="shared" si="40"/>
        <v>72.91</v>
      </c>
      <c r="L295" s="287">
        <f t="shared" si="41"/>
        <v>72.900000000000006</v>
      </c>
      <c r="M295" s="287">
        <f t="shared" si="42"/>
        <v>7290.0000000000009</v>
      </c>
      <c r="N295" s="280">
        <v>7290.0000000000009</v>
      </c>
      <c r="O295" s="289">
        <f t="shared" si="38"/>
        <v>1.0498271889400923</v>
      </c>
    </row>
    <row r="296" spans="1:15" s="232" customFormat="1" ht="16.95" customHeight="1">
      <c r="A296" s="277">
        <v>265</v>
      </c>
      <c r="B296" s="282" t="s">
        <v>510</v>
      </c>
      <c r="C296" s="283" t="s">
        <v>511</v>
      </c>
      <c r="D296" s="284">
        <v>1469</v>
      </c>
      <c r="E296" s="285">
        <f t="shared" si="43"/>
        <v>1530</v>
      </c>
      <c r="F296" s="295">
        <f t="shared" si="44"/>
        <v>61</v>
      </c>
      <c r="G296" s="286">
        <v>1.0364</v>
      </c>
      <c r="H296" s="287">
        <f t="shared" si="39"/>
        <v>1586</v>
      </c>
      <c r="I296" s="287">
        <f t="shared" si="36"/>
        <v>56</v>
      </c>
      <c r="J296" s="288">
        <f t="shared" si="37"/>
        <v>1665</v>
      </c>
      <c r="K296" s="287">
        <f t="shared" si="40"/>
        <v>16.649999999999999</v>
      </c>
      <c r="L296" s="287">
        <f t="shared" si="41"/>
        <v>16.7</v>
      </c>
      <c r="M296" s="287">
        <f t="shared" si="42"/>
        <v>1670</v>
      </c>
      <c r="N296" s="280">
        <v>1670</v>
      </c>
      <c r="O296" s="289">
        <f t="shared" si="38"/>
        <v>1.0529634300126103</v>
      </c>
    </row>
    <row r="297" spans="1:15" s="232" customFormat="1" ht="16.95" customHeight="1">
      <c r="A297" s="277">
        <v>266</v>
      </c>
      <c r="B297" s="282" t="s">
        <v>512</v>
      </c>
      <c r="C297" s="283" t="s">
        <v>513</v>
      </c>
      <c r="D297" s="284">
        <v>1322</v>
      </c>
      <c r="E297" s="285">
        <f t="shared" si="43"/>
        <v>1380</v>
      </c>
      <c r="F297" s="295">
        <f t="shared" si="44"/>
        <v>58</v>
      </c>
      <c r="G297" s="286">
        <v>1.0364</v>
      </c>
      <c r="H297" s="287">
        <f t="shared" si="39"/>
        <v>1430</v>
      </c>
      <c r="I297" s="287">
        <f t="shared" si="36"/>
        <v>50</v>
      </c>
      <c r="J297" s="288">
        <f t="shared" si="37"/>
        <v>1502</v>
      </c>
      <c r="K297" s="287">
        <f t="shared" si="40"/>
        <v>15.02</v>
      </c>
      <c r="L297" s="287">
        <f t="shared" si="41"/>
        <v>15</v>
      </c>
      <c r="M297" s="287">
        <f t="shared" si="42"/>
        <v>1500</v>
      </c>
      <c r="N297" s="280">
        <v>1500</v>
      </c>
      <c r="O297" s="289">
        <f t="shared" si="38"/>
        <v>1.048951048951049</v>
      </c>
    </row>
    <row r="298" spans="1:15" s="232" customFormat="1" ht="16.95" customHeight="1">
      <c r="A298" s="277">
        <v>267</v>
      </c>
      <c r="B298" s="282" t="s">
        <v>514</v>
      </c>
      <c r="C298" s="283" t="s">
        <v>515</v>
      </c>
      <c r="D298" s="284">
        <v>1337</v>
      </c>
      <c r="E298" s="285">
        <f t="shared" si="43"/>
        <v>1390</v>
      </c>
      <c r="F298" s="295">
        <f t="shared" si="44"/>
        <v>53</v>
      </c>
      <c r="G298" s="286">
        <v>1.0364</v>
      </c>
      <c r="H298" s="287">
        <f t="shared" si="39"/>
        <v>1441</v>
      </c>
      <c r="I298" s="287">
        <f t="shared" si="36"/>
        <v>51</v>
      </c>
      <c r="J298" s="288">
        <f t="shared" si="37"/>
        <v>1513</v>
      </c>
      <c r="K298" s="287">
        <f t="shared" si="40"/>
        <v>15.13</v>
      </c>
      <c r="L298" s="287">
        <f t="shared" si="41"/>
        <v>15.1</v>
      </c>
      <c r="M298" s="287">
        <f t="shared" si="42"/>
        <v>1510</v>
      </c>
      <c r="N298" s="280">
        <v>1510</v>
      </c>
      <c r="O298" s="289">
        <f t="shared" si="38"/>
        <v>1.0478834142956281</v>
      </c>
    </row>
    <row r="299" spans="1:15" s="232" customFormat="1" ht="16.95" customHeight="1">
      <c r="A299" s="277">
        <v>268</v>
      </c>
      <c r="B299" s="282" t="s">
        <v>516</v>
      </c>
      <c r="C299" s="283" t="s">
        <v>517</v>
      </c>
      <c r="D299" s="284">
        <v>632</v>
      </c>
      <c r="E299" s="285">
        <f t="shared" si="43"/>
        <v>660</v>
      </c>
      <c r="F299" s="295">
        <f t="shared" si="44"/>
        <v>28</v>
      </c>
      <c r="G299" s="286">
        <v>1.0364</v>
      </c>
      <c r="H299" s="287">
        <f t="shared" si="39"/>
        <v>684</v>
      </c>
      <c r="I299" s="287">
        <f t="shared" si="36"/>
        <v>24</v>
      </c>
      <c r="J299" s="288">
        <f t="shared" si="37"/>
        <v>718</v>
      </c>
      <c r="K299" s="287">
        <f t="shared" si="40"/>
        <v>7.18</v>
      </c>
      <c r="L299" s="287">
        <f t="shared" si="41"/>
        <v>7.2</v>
      </c>
      <c r="M299" s="287">
        <f t="shared" si="42"/>
        <v>720</v>
      </c>
      <c r="N299" s="280">
        <v>720</v>
      </c>
      <c r="O299" s="289">
        <f t="shared" si="38"/>
        <v>1.0526315789473684</v>
      </c>
    </row>
    <row r="300" spans="1:15" s="232" customFormat="1" ht="16.95" customHeight="1">
      <c r="A300" s="277">
        <v>269</v>
      </c>
      <c r="B300" s="282" t="s">
        <v>518</v>
      </c>
      <c r="C300" s="283" t="s">
        <v>519</v>
      </c>
      <c r="D300" s="284">
        <v>5508</v>
      </c>
      <c r="E300" s="285">
        <f t="shared" si="43"/>
        <v>5740</v>
      </c>
      <c r="F300" s="295">
        <f t="shared" si="44"/>
        <v>232</v>
      </c>
      <c r="G300" s="286">
        <v>1.0364</v>
      </c>
      <c r="H300" s="287">
        <f t="shared" si="39"/>
        <v>5949</v>
      </c>
      <c r="I300" s="287">
        <f t="shared" si="36"/>
        <v>209</v>
      </c>
      <c r="J300" s="288">
        <f t="shared" si="37"/>
        <v>6246</v>
      </c>
      <c r="K300" s="287">
        <f t="shared" si="40"/>
        <v>62.46</v>
      </c>
      <c r="L300" s="287">
        <f t="shared" si="41"/>
        <v>62.5</v>
      </c>
      <c r="M300" s="287">
        <f t="shared" si="42"/>
        <v>6250</v>
      </c>
      <c r="N300" s="280">
        <v>6250</v>
      </c>
      <c r="O300" s="289">
        <f t="shared" si="38"/>
        <v>1.0505967389477222</v>
      </c>
    </row>
    <row r="301" spans="1:15" s="232" customFormat="1" ht="16.95" customHeight="1">
      <c r="A301" s="277">
        <v>270</v>
      </c>
      <c r="B301" s="282" t="s">
        <v>520</v>
      </c>
      <c r="C301" s="283" t="s">
        <v>521</v>
      </c>
      <c r="D301" s="284">
        <v>1193</v>
      </c>
      <c r="E301" s="285">
        <f t="shared" si="43"/>
        <v>1240</v>
      </c>
      <c r="F301" s="295">
        <f t="shared" si="44"/>
        <v>47</v>
      </c>
      <c r="G301" s="286">
        <v>1.0364</v>
      </c>
      <c r="H301" s="287">
        <f t="shared" si="39"/>
        <v>1285</v>
      </c>
      <c r="I301" s="287">
        <f t="shared" si="36"/>
        <v>45</v>
      </c>
      <c r="J301" s="288">
        <f t="shared" si="37"/>
        <v>1349</v>
      </c>
      <c r="K301" s="287">
        <f t="shared" si="40"/>
        <v>13.49</v>
      </c>
      <c r="L301" s="287">
        <f t="shared" si="41"/>
        <v>13.5</v>
      </c>
      <c r="M301" s="287">
        <f t="shared" si="42"/>
        <v>1350</v>
      </c>
      <c r="N301" s="280">
        <v>1350</v>
      </c>
      <c r="O301" s="289">
        <f t="shared" si="38"/>
        <v>1.0505836575875487</v>
      </c>
    </row>
    <row r="302" spans="1:15" s="232" customFormat="1" ht="16.95" customHeight="1">
      <c r="A302" s="277">
        <v>271</v>
      </c>
      <c r="B302" s="282" t="s">
        <v>522</v>
      </c>
      <c r="C302" s="283" t="s">
        <v>523</v>
      </c>
      <c r="D302" s="284">
        <v>470</v>
      </c>
      <c r="E302" s="285">
        <f t="shared" si="43"/>
        <v>490</v>
      </c>
      <c r="F302" s="295">
        <f t="shared" si="44"/>
        <v>20</v>
      </c>
      <c r="G302" s="286">
        <v>1.0364</v>
      </c>
      <c r="H302" s="287">
        <f t="shared" si="39"/>
        <v>508</v>
      </c>
      <c r="I302" s="287">
        <f t="shared" si="36"/>
        <v>18</v>
      </c>
      <c r="J302" s="288">
        <f t="shared" si="37"/>
        <v>533</v>
      </c>
      <c r="K302" s="287">
        <f t="shared" si="40"/>
        <v>5.33</v>
      </c>
      <c r="L302" s="287">
        <f t="shared" si="41"/>
        <v>5.3</v>
      </c>
      <c r="M302" s="287">
        <f t="shared" si="42"/>
        <v>530</v>
      </c>
      <c r="N302" s="280">
        <v>530</v>
      </c>
      <c r="O302" s="289">
        <f t="shared" si="38"/>
        <v>1.0433070866141732</v>
      </c>
    </row>
    <row r="303" spans="1:15" s="232" customFormat="1" ht="16.95" customHeight="1">
      <c r="A303" s="277">
        <v>272</v>
      </c>
      <c r="B303" s="282" t="s">
        <v>524</v>
      </c>
      <c r="C303" s="283" t="s">
        <v>525</v>
      </c>
      <c r="D303" s="284">
        <v>470</v>
      </c>
      <c r="E303" s="285">
        <f t="shared" si="43"/>
        <v>490</v>
      </c>
      <c r="F303" s="295">
        <f t="shared" si="44"/>
        <v>20</v>
      </c>
      <c r="G303" s="286">
        <v>1.0364</v>
      </c>
      <c r="H303" s="287">
        <f t="shared" si="39"/>
        <v>508</v>
      </c>
      <c r="I303" s="287">
        <f t="shared" si="36"/>
        <v>18</v>
      </c>
      <c r="J303" s="288">
        <f t="shared" si="37"/>
        <v>533</v>
      </c>
      <c r="K303" s="287">
        <f t="shared" si="40"/>
        <v>5.33</v>
      </c>
      <c r="L303" s="287">
        <f t="shared" si="41"/>
        <v>5.3</v>
      </c>
      <c r="M303" s="287">
        <f t="shared" si="42"/>
        <v>530</v>
      </c>
      <c r="N303" s="280">
        <v>530</v>
      </c>
      <c r="O303" s="289">
        <f t="shared" si="38"/>
        <v>1.0433070866141732</v>
      </c>
    </row>
    <row r="304" spans="1:15" s="232" customFormat="1" ht="16.95" customHeight="1">
      <c r="A304" s="277">
        <v>273</v>
      </c>
      <c r="B304" s="282" t="s">
        <v>526</v>
      </c>
      <c r="C304" s="283" t="s">
        <v>527</v>
      </c>
      <c r="D304" s="284">
        <v>705</v>
      </c>
      <c r="E304" s="285">
        <f t="shared" si="43"/>
        <v>740</v>
      </c>
      <c r="F304" s="295">
        <f t="shared" si="44"/>
        <v>35</v>
      </c>
      <c r="G304" s="286">
        <v>1.0364</v>
      </c>
      <c r="H304" s="287">
        <f t="shared" si="39"/>
        <v>767</v>
      </c>
      <c r="I304" s="287">
        <f t="shared" si="36"/>
        <v>27</v>
      </c>
      <c r="J304" s="288">
        <f t="shared" si="37"/>
        <v>805</v>
      </c>
      <c r="K304" s="287">
        <f t="shared" si="40"/>
        <v>8.0500000000000007</v>
      </c>
      <c r="L304" s="287">
        <f t="shared" si="41"/>
        <v>8.1</v>
      </c>
      <c r="M304" s="287">
        <f t="shared" si="42"/>
        <v>810</v>
      </c>
      <c r="N304" s="280">
        <v>810</v>
      </c>
      <c r="O304" s="289">
        <f t="shared" si="38"/>
        <v>1.0560625814863103</v>
      </c>
    </row>
    <row r="305" spans="1:15" s="232" customFormat="1" ht="16.95" customHeight="1">
      <c r="A305" s="277">
        <v>274</v>
      </c>
      <c r="B305" s="282" t="s">
        <v>528</v>
      </c>
      <c r="C305" s="283" t="s">
        <v>529</v>
      </c>
      <c r="D305" s="284">
        <v>632</v>
      </c>
      <c r="E305" s="285">
        <f t="shared" si="43"/>
        <v>660</v>
      </c>
      <c r="F305" s="295">
        <f t="shared" si="44"/>
        <v>28</v>
      </c>
      <c r="G305" s="286">
        <v>1.0364</v>
      </c>
      <c r="H305" s="287">
        <f t="shared" si="39"/>
        <v>684</v>
      </c>
      <c r="I305" s="287">
        <f t="shared" si="36"/>
        <v>24</v>
      </c>
      <c r="J305" s="288">
        <f t="shared" si="37"/>
        <v>718</v>
      </c>
      <c r="K305" s="287">
        <f t="shared" si="40"/>
        <v>7.18</v>
      </c>
      <c r="L305" s="287">
        <f t="shared" si="41"/>
        <v>7.2</v>
      </c>
      <c r="M305" s="287">
        <f t="shared" si="42"/>
        <v>720</v>
      </c>
      <c r="N305" s="280">
        <v>720</v>
      </c>
      <c r="O305" s="289">
        <f t="shared" si="38"/>
        <v>1.0526315789473684</v>
      </c>
    </row>
    <row r="306" spans="1:15" s="232" customFormat="1" ht="16.95" customHeight="1">
      <c r="A306" s="277">
        <v>275</v>
      </c>
      <c r="B306" s="282" t="s">
        <v>530</v>
      </c>
      <c r="C306" s="283" t="s">
        <v>531</v>
      </c>
      <c r="D306" s="284">
        <v>705</v>
      </c>
      <c r="E306" s="285">
        <f t="shared" si="43"/>
        <v>740</v>
      </c>
      <c r="F306" s="295">
        <f t="shared" si="44"/>
        <v>35</v>
      </c>
      <c r="G306" s="286">
        <v>1.0364</v>
      </c>
      <c r="H306" s="287">
        <f t="shared" si="39"/>
        <v>767</v>
      </c>
      <c r="I306" s="287">
        <f t="shared" si="36"/>
        <v>27</v>
      </c>
      <c r="J306" s="288">
        <f t="shared" si="37"/>
        <v>805</v>
      </c>
      <c r="K306" s="287">
        <f t="shared" si="40"/>
        <v>8.0500000000000007</v>
      </c>
      <c r="L306" s="287">
        <f t="shared" si="41"/>
        <v>8.1</v>
      </c>
      <c r="M306" s="287">
        <f t="shared" si="42"/>
        <v>810</v>
      </c>
      <c r="N306" s="280">
        <v>810</v>
      </c>
      <c r="O306" s="289">
        <f t="shared" si="38"/>
        <v>1.0560625814863103</v>
      </c>
    </row>
    <row r="307" spans="1:15" s="232" customFormat="1" ht="16.95" customHeight="1">
      <c r="A307" s="277">
        <v>276</v>
      </c>
      <c r="B307" s="282" t="s">
        <v>532</v>
      </c>
      <c r="C307" s="283" t="s">
        <v>533</v>
      </c>
      <c r="D307" s="284">
        <v>793</v>
      </c>
      <c r="E307" s="285">
        <f t="shared" si="43"/>
        <v>830</v>
      </c>
      <c r="F307" s="295">
        <f t="shared" si="44"/>
        <v>37</v>
      </c>
      <c r="G307" s="286">
        <v>1.0364</v>
      </c>
      <c r="H307" s="287">
        <f t="shared" si="39"/>
        <v>860</v>
      </c>
      <c r="I307" s="287">
        <f t="shared" si="36"/>
        <v>30</v>
      </c>
      <c r="J307" s="288">
        <f t="shared" si="37"/>
        <v>903</v>
      </c>
      <c r="K307" s="287">
        <f t="shared" si="40"/>
        <v>9.0299999999999994</v>
      </c>
      <c r="L307" s="287">
        <f t="shared" si="41"/>
        <v>9</v>
      </c>
      <c r="M307" s="287">
        <f t="shared" si="42"/>
        <v>900</v>
      </c>
      <c r="N307" s="280">
        <v>900</v>
      </c>
      <c r="O307" s="289">
        <f t="shared" si="38"/>
        <v>1.0465116279069768</v>
      </c>
    </row>
    <row r="308" spans="1:15" s="232" customFormat="1" ht="16.95" customHeight="1">
      <c r="A308" s="277">
        <v>277</v>
      </c>
      <c r="B308" s="282" t="s">
        <v>534</v>
      </c>
      <c r="C308" s="283" t="s">
        <v>535</v>
      </c>
      <c r="D308" s="284">
        <v>867</v>
      </c>
      <c r="E308" s="285">
        <f t="shared" si="43"/>
        <v>900</v>
      </c>
      <c r="F308" s="295">
        <f t="shared" si="44"/>
        <v>33</v>
      </c>
      <c r="G308" s="286">
        <v>1.0364</v>
      </c>
      <c r="H308" s="287">
        <f t="shared" si="39"/>
        <v>933</v>
      </c>
      <c r="I308" s="287">
        <f t="shared" si="36"/>
        <v>33</v>
      </c>
      <c r="J308" s="288">
        <f t="shared" si="37"/>
        <v>980</v>
      </c>
      <c r="K308" s="287">
        <f t="shared" si="40"/>
        <v>9.8000000000000007</v>
      </c>
      <c r="L308" s="287">
        <f t="shared" si="41"/>
        <v>9.8000000000000007</v>
      </c>
      <c r="M308" s="287">
        <f t="shared" si="42"/>
        <v>980.00000000000011</v>
      </c>
      <c r="N308" s="280">
        <v>980.00000000000011</v>
      </c>
      <c r="O308" s="289">
        <f t="shared" si="38"/>
        <v>1.0503751339764202</v>
      </c>
    </row>
    <row r="309" spans="1:15" s="232" customFormat="1" ht="16.95" customHeight="1">
      <c r="A309" s="277">
        <v>278</v>
      </c>
      <c r="B309" s="282" t="s">
        <v>536</v>
      </c>
      <c r="C309" s="283" t="s">
        <v>537</v>
      </c>
      <c r="D309" s="284">
        <v>793</v>
      </c>
      <c r="E309" s="285">
        <f t="shared" si="43"/>
        <v>830</v>
      </c>
      <c r="F309" s="295">
        <f t="shared" si="44"/>
        <v>37</v>
      </c>
      <c r="G309" s="286">
        <v>1.0364</v>
      </c>
      <c r="H309" s="287">
        <f t="shared" si="39"/>
        <v>860</v>
      </c>
      <c r="I309" s="287">
        <f t="shared" si="36"/>
        <v>30</v>
      </c>
      <c r="J309" s="288">
        <f t="shared" si="37"/>
        <v>903</v>
      </c>
      <c r="K309" s="287">
        <f t="shared" si="40"/>
        <v>9.0299999999999994</v>
      </c>
      <c r="L309" s="287">
        <f t="shared" si="41"/>
        <v>9</v>
      </c>
      <c r="M309" s="287">
        <f t="shared" si="42"/>
        <v>900</v>
      </c>
      <c r="N309" s="280">
        <v>900</v>
      </c>
      <c r="O309" s="289">
        <f t="shared" si="38"/>
        <v>1.0465116279069768</v>
      </c>
    </row>
    <row r="310" spans="1:15" s="232" customFormat="1" ht="16.95" customHeight="1">
      <c r="A310" s="277">
        <v>279</v>
      </c>
      <c r="B310" s="282" t="s">
        <v>538</v>
      </c>
      <c r="C310" s="283" t="s">
        <v>539</v>
      </c>
      <c r="D310" s="284">
        <v>632</v>
      </c>
      <c r="E310" s="285">
        <f t="shared" si="43"/>
        <v>660</v>
      </c>
      <c r="F310" s="295">
        <f t="shared" si="44"/>
        <v>28</v>
      </c>
      <c r="G310" s="286">
        <v>1.0364</v>
      </c>
      <c r="H310" s="287">
        <f t="shared" si="39"/>
        <v>684</v>
      </c>
      <c r="I310" s="287">
        <f t="shared" si="36"/>
        <v>24</v>
      </c>
      <c r="J310" s="288">
        <f t="shared" si="37"/>
        <v>718</v>
      </c>
      <c r="K310" s="287">
        <f t="shared" si="40"/>
        <v>7.18</v>
      </c>
      <c r="L310" s="287">
        <f t="shared" si="41"/>
        <v>7.2</v>
      </c>
      <c r="M310" s="287">
        <f t="shared" si="42"/>
        <v>720</v>
      </c>
      <c r="N310" s="280">
        <v>720</v>
      </c>
      <c r="O310" s="289">
        <f t="shared" si="38"/>
        <v>1.0526315789473684</v>
      </c>
    </row>
    <row r="311" spans="1:15" s="232" customFormat="1" ht="16.95" customHeight="1">
      <c r="A311" s="277">
        <v>280</v>
      </c>
      <c r="B311" s="282" t="s">
        <v>540</v>
      </c>
      <c r="C311" s="283" t="s">
        <v>541</v>
      </c>
      <c r="D311" s="284">
        <v>632</v>
      </c>
      <c r="E311" s="285">
        <f t="shared" si="43"/>
        <v>660</v>
      </c>
      <c r="F311" s="295">
        <f t="shared" si="44"/>
        <v>28</v>
      </c>
      <c r="G311" s="286">
        <v>1.0364</v>
      </c>
      <c r="H311" s="287">
        <f t="shared" si="39"/>
        <v>684</v>
      </c>
      <c r="I311" s="287">
        <f t="shared" si="36"/>
        <v>24</v>
      </c>
      <c r="J311" s="288">
        <f t="shared" si="37"/>
        <v>718</v>
      </c>
      <c r="K311" s="287">
        <f t="shared" si="40"/>
        <v>7.18</v>
      </c>
      <c r="L311" s="287">
        <f t="shared" si="41"/>
        <v>7.2</v>
      </c>
      <c r="M311" s="287">
        <f t="shared" si="42"/>
        <v>720</v>
      </c>
      <c r="N311" s="280">
        <v>720</v>
      </c>
      <c r="O311" s="289">
        <f t="shared" si="38"/>
        <v>1.0526315789473684</v>
      </c>
    </row>
    <row r="312" spans="1:15" s="232" customFormat="1" ht="16.95" customHeight="1">
      <c r="A312" s="277">
        <v>281</v>
      </c>
      <c r="B312" s="282" t="s">
        <v>542</v>
      </c>
      <c r="C312" s="283" t="s">
        <v>543</v>
      </c>
      <c r="D312" s="284">
        <v>543</v>
      </c>
      <c r="E312" s="285">
        <f t="shared" si="43"/>
        <v>570</v>
      </c>
      <c r="F312" s="295">
        <f t="shared" si="44"/>
        <v>27</v>
      </c>
      <c r="G312" s="286">
        <v>1.0364</v>
      </c>
      <c r="H312" s="287">
        <f t="shared" si="39"/>
        <v>591</v>
      </c>
      <c r="I312" s="287">
        <f t="shared" si="36"/>
        <v>21</v>
      </c>
      <c r="J312" s="288">
        <f t="shared" si="37"/>
        <v>621</v>
      </c>
      <c r="K312" s="287">
        <f t="shared" si="40"/>
        <v>6.21</v>
      </c>
      <c r="L312" s="287">
        <f t="shared" si="41"/>
        <v>6.2</v>
      </c>
      <c r="M312" s="287">
        <f t="shared" si="42"/>
        <v>620</v>
      </c>
      <c r="N312" s="280">
        <v>620</v>
      </c>
      <c r="O312" s="289">
        <f t="shared" si="38"/>
        <v>1.0490693739424704</v>
      </c>
    </row>
    <row r="313" spans="1:15" s="232" customFormat="1" ht="16.95" customHeight="1">
      <c r="A313" s="277">
        <v>282</v>
      </c>
      <c r="B313" s="282" t="s">
        <v>544</v>
      </c>
      <c r="C313" s="283" t="s">
        <v>545</v>
      </c>
      <c r="D313" s="284">
        <v>485</v>
      </c>
      <c r="E313" s="285">
        <f t="shared" si="43"/>
        <v>510</v>
      </c>
      <c r="F313" s="295">
        <f t="shared" si="44"/>
        <v>25</v>
      </c>
      <c r="G313" s="286">
        <v>1.0364</v>
      </c>
      <c r="H313" s="287">
        <f t="shared" si="39"/>
        <v>529</v>
      </c>
      <c r="I313" s="287">
        <f t="shared" si="36"/>
        <v>19</v>
      </c>
      <c r="J313" s="288">
        <f t="shared" si="37"/>
        <v>555</v>
      </c>
      <c r="K313" s="287">
        <f t="shared" si="40"/>
        <v>5.55</v>
      </c>
      <c r="L313" s="287">
        <f t="shared" si="41"/>
        <v>5.6</v>
      </c>
      <c r="M313" s="287">
        <f t="shared" si="42"/>
        <v>560</v>
      </c>
      <c r="N313" s="280">
        <v>560</v>
      </c>
      <c r="O313" s="289">
        <f t="shared" si="38"/>
        <v>1.0586011342155008</v>
      </c>
    </row>
    <row r="314" spans="1:15" s="232" customFormat="1" ht="16.95" customHeight="1">
      <c r="A314" s="277">
        <v>283</v>
      </c>
      <c r="B314" s="282" t="s">
        <v>546</v>
      </c>
      <c r="C314" s="283" t="s">
        <v>547</v>
      </c>
      <c r="D314" s="284">
        <v>250</v>
      </c>
      <c r="E314" s="285">
        <f t="shared" si="43"/>
        <v>260</v>
      </c>
      <c r="F314" s="295">
        <f t="shared" si="44"/>
        <v>10</v>
      </c>
      <c r="G314" s="286">
        <v>1.0364</v>
      </c>
      <c r="H314" s="287">
        <f t="shared" si="39"/>
        <v>269</v>
      </c>
      <c r="I314" s="287">
        <f t="shared" si="36"/>
        <v>9</v>
      </c>
      <c r="J314" s="288">
        <f t="shared" si="37"/>
        <v>282</v>
      </c>
      <c r="K314" s="287">
        <f t="shared" si="40"/>
        <v>2.82</v>
      </c>
      <c r="L314" s="287">
        <f t="shared" si="41"/>
        <v>2.8</v>
      </c>
      <c r="M314" s="287">
        <f t="shared" si="42"/>
        <v>280</v>
      </c>
      <c r="N314" s="280">
        <v>280</v>
      </c>
      <c r="O314" s="289">
        <f t="shared" si="38"/>
        <v>1.0408921933085502</v>
      </c>
    </row>
    <row r="315" spans="1:15" s="232" customFormat="1" ht="16.95" customHeight="1">
      <c r="A315" s="277">
        <v>284</v>
      </c>
      <c r="B315" s="282" t="s">
        <v>548</v>
      </c>
      <c r="C315" s="283" t="s">
        <v>549</v>
      </c>
      <c r="D315" s="284">
        <v>235</v>
      </c>
      <c r="E315" s="285">
        <f t="shared" si="43"/>
        <v>250</v>
      </c>
      <c r="F315" s="295">
        <f t="shared" si="44"/>
        <v>15</v>
      </c>
      <c r="G315" s="286">
        <v>1.0364</v>
      </c>
      <c r="H315" s="287">
        <f t="shared" si="39"/>
        <v>259</v>
      </c>
      <c r="I315" s="287">
        <f t="shared" si="36"/>
        <v>9</v>
      </c>
      <c r="J315" s="288">
        <f t="shared" si="37"/>
        <v>272</v>
      </c>
      <c r="K315" s="287">
        <f t="shared" si="40"/>
        <v>2.72</v>
      </c>
      <c r="L315" s="287">
        <f t="shared" si="41"/>
        <v>2.7</v>
      </c>
      <c r="M315" s="287">
        <f t="shared" si="42"/>
        <v>270</v>
      </c>
      <c r="N315" s="280">
        <v>270</v>
      </c>
      <c r="O315" s="289">
        <f t="shared" si="38"/>
        <v>1.0424710424710424</v>
      </c>
    </row>
    <row r="316" spans="1:15" s="232" customFormat="1" ht="16.95" customHeight="1">
      <c r="A316" s="277">
        <v>285</v>
      </c>
      <c r="B316" s="282" t="s">
        <v>550</v>
      </c>
      <c r="C316" s="283" t="s">
        <v>551</v>
      </c>
      <c r="D316" s="284">
        <v>132</v>
      </c>
      <c r="E316" s="285">
        <f t="shared" si="43"/>
        <v>140</v>
      </c>
      <c r="F316" s="295">
        <f t="shared" si="44"/>
        <v>8</v>
      </c>
      <c r="G316" s="286">
        <v>1.0364</v>
      </c>
      <c r="H316" s="287">
        <f t="shared" si="39"/>
        <v>145</v>
      </c>
      <c r="I316" s="287">
        <f t="shared" si="36"/>
        <v>5</v>
      </c>
      <c r="J316" s="288">
        <f t="shared" si="37"/>
        <v>152</v>
      </c>
      <c r="K316" s="287">
        <f t="shared" si="40"/>
        <v>1.52</v>
      </c>
      <c r="L316" s="287">
        <f t="shared" si="41"/>
        <v>1.5</v>
      </c>
      <c r="M316" s="287">
        <f t="shared" si="42"/>
        <v>150</v>
      </c>
      <c r="N316" s="280">
        <v>150</v>
      </c>
      <c r="O316" s="289">
        <f t="shared" si="38"/>
        <v>1.0344827586206897</v>
      </c>
    </row>
    <row r="317" spans="1:15" s="232" customFormat="1" ht="16.95" customHeight="1">
      <c r="A317" s="277">
        <v>286</v>
      </c>
      <c r="B317" s="282" t="s">
        <v>552</v>
      </c>
      <c r="C317" s="283" t="s">
        <v>553</v>
      </c>
      <c r="D317" s="284">
        <v>132</v>
      </c>
      <c r="E317" s="285">
        <f t="shared" si="43"/>
        <v>140</v>
      </c>
      <c r="F317" s="295">
        <f t="shared" si="44"/>
        <v>8</v>
      </c>
      <c r="G317" s="286">
        <v>1.0364</v>
      </c>
      <c r="H317" s="287">
        <f t="shared" si="39"/>
        <v>145</v>
      </c>
      <c r="I317" s="287">
        <f t="shared" si="36"/>
        <v>5</v>
      </c>
      <c r="J317" s="288">
        <f t="shared" si="37"/>
        <v>152</v>
      </c>
      <c r="K317" s="287">
        <f t="shared" si="40"/>
        <v>1.52</v>
      </c>
      <c r="L317" s="287">
        <f t="shared" si="41"/>
        <v>1.5</v>
      </c>
      <c r="M317" s="287">
        <f t="shared" si="42"/>
        <v>150</v>
      </c>
      <c r="N317" s="280">
        <v>150</v>
      </c>
      <c r="O317" s="289">
        <f t="shared" si="38"/>
        <v>1.0344827586206897</v>
      </c>
    </row>
    <row r="318" spans="1:15" s="232" customFormat="1" ht="16.95" customHeight="1">
      <c r="A318" s="277">
        <v>287</v>
      </c>
      <c r="B318" s="282" t="s">
        <v>554</v>
      </c>
      <c r="C318" s="283" t="s">
        <v>555</v>
      </c>
      <c r="D318" s="284">
        <v>1616</v>
      </c>
      <c r="E318" s="285">
        <f t="shared" si="43"/>
        <v>1690</v>
      </c>
      <c r="F318" s="295">
        <f t="shared" si="44"/>
        <v>74</v>
      </c>
      <c r="G318" s="286">
        <v>1.0364</v>
      </c>
      <c r="H318" s="287">
        <f t="shared" si="39"/>
        <v>1752</v>
      </c>
      <c r="I318" s="287">
        <f t="shared" si="36"/>
        <v>62</v>
      </c>
      <c r="J318" s="288">
        <f t="shared" si="37"/>
        <v>1840</v>
      </c>
      <c r="K318" s="287">
        <f t="shared" si="40"/>
        <v>18.399999999999999</v>
      </c>
      <c r="L318" s="287">
        <f t="shared" si="41"/>
        <v>18.399999999999999</v>
      </c>
      <c r="M318" s="287">
        <f t="shared" si="42"/>
        <v>1839.9999999999998</v>
      </c>
      <c r="N318" s="280">
        <v>1839.9999999999998</v>
      </c>
      <c r="O318" s="289">
        <f t="shared" si="38"/>
        <v>1.0502283105022829</v>
      </c>
    </row>
    <row r="319" spans="1:15" s="232" customFormat="1" ht="16.95" customHeight="1">
      <c r="A319" s="277"/>
      <c r="B319" s="290"/>
      <c r="C319" s="291" t="s">
        <v>556</v>
      </c>
      <c r="D319" s="284"/>
      <c r="E319" s="292"/>
      <c r="F319" s="293"/>
      <c r="G319" s="286"/>
      <c r="H319" s="291"/>
      <c r="I319" s="291"/>
      <c r="J319" s="294"/>
      <c r="K319" s="287"/>
      <c r="L319" s="287"/>
      <c r="M319" s="291"/>
      <c r="N319" s="280"/>
      <c r="O319" s="289"/>
    </row>
    <row r="320" spans="1:15" s="232" customFormat="1" ht="16.95" customHeight="1">
      <c r="A320" s="277">
        <v>288</v>
      </c>
      <c r="B320" s="282" t="s">
        <v>557</v>
      </c>
      <c r="C320" s="283" t="s">
        <v>635</v>
      </c>
      <c r="D320" s="284">
        <v>200</v>
      </c>
      <c r="E320" s="285">
        <f t="shared" si="43"/>
        <v>210</v>
      </c>
      <c r="F320" s="295">
        <f t="shared" si="44"/>
        <v>10</v>
      </c>
      <c r="G320" s="286">
        <v>1.0364</v>
      </c>
      <c r="H320" s="287">
        <f t="shared" si="39"/>
        <v>218</v>
      </c>
      <c r="I320" s="287">
        <f t="shared" si="36"/>
        <v>8</v>
      </c>
      <c r="J320" s="288">
        <f t="shared" si="37"/>
        <v>229</v>
      </c>
      <c r="K320" s="287">
        <f t="shared" si="40"/>
        <v>2.29</v>
      </c>
      <c r="L320" s="287">
        <f t="shared" si="41"/>
        <v>2.2999999999999998</v>
      </c>
      <c r="M320" s="287">
        <f t="shared" si="42"/>
        <v>229.99999999999997</v>
      </c>
      <c r="N320" s="280">
        <v>229.99999999999997</v>
      </c>
      <c r="O320" s="289">
        <f t="shared" si="38"/>
        <v>1.0550458715596329</v>
      </c>
    </row>
    <row r="321" spans="1:15" s="232" customFormat="1" ht="16.95" customHeight="1">
      <c r="A321" s="277">
        <v>289</v>
      </c>
      <c r="B321" s="282" t="s">
        <v>47</v>
      </c>
      <c r="C321" s="283" t="s">
        <v>636</v>
      </c>
      <c r="D321" s="284">
        <v>100</v>
      </c>
      <c r="E321" s="285">
        <v>105</v>
      </c>
      <c r="F321" s="295">
        <f t="shared" si="44"/>
        <v>5</v>
      </c>
      <c r="G321" s="286">
        <v>1.0364</v>
      </c>
      <c r="H321" s="287">
        <f t="shared" si="39"/>
        <v>109</v>
      </c>
      <c r="I321" s="287">
        <f t="shared" si="36"/>
        <v>4</v>
      </c>
      <c r="J321" s="288">
        <f t="shared" si="37"/>
        <v>114</v>
      </c>
      <c r="K321" s="287">
        <f t="shared" si="40"/>
        <v>1.1399999999999999</v>
      </c>
      <c r="L321" s="287">
        <f t="shared" si="41"/>
        <v>1.1000000000000001</v>
      </c>
      <c r="M321" s="287">
        <f t="shared" si="42"/>
        <v>110.00000000000001</v>
      </c>
      <c r="N321" s="280">
        <v>110.00000000000001</v>
      </c>
      <c r="O321" s="289">
        <f t="shared" si="38"/>
        <v>1.0091743119266057</v>
      </c>
    </row>
    <row r="322" spans="1:15" s="232" customFormat="1" ht="16.95" customHeight="1">
      <c r="A322" s="277">
        <v>290</v>
      </c>
      <c r="B322" s="282" t="s">
        <v>45</v>
      </c>
      <c r="C322" s="283" t="s">
        <v>637</v>
      </c>
      <c r="D322" s="284">
        <v>690</v>
      </c>
      <c r="E322" s="285">
        <f t="shared" si="43"/>
        <v>720</v>
      </c>
      <c r="F322" s="295">
        <f t="shared" si="44"/>
        <v>30</v>
      </c>
      <c r="G322" s="286">
        <v>1.0364</v>
      </c>
      <c r="H322" s="287">
        <f t="shared" si="39"/>
        <v>746</v>
      </c>
      <c r="I322" s="287">
        <f t="shared" si="36"/>
        <v>26</v>
      </c>
      <c r="J322" s="288">
        <f t="shared" si="37"/>
        <v>783</v>
      </c>
      <c r="K322" s="287">
        <f t="shared" si="40"/>
        <v>7.83</v>
      </c>
      <c r="L322" s="287">
        <f t="shared" si="41"/>
        <v>7.8</v>
      </c>
      <c r="M322" s="287">
        <f t="shared" si="42"/>
        <v>780</v>
      </c>
      <c r="N322" s="280">
        <v>780</v>
      </c>
      <c r="O322" s="289">
        <f t="shared" si="38"/>
        <v>1.0455764075067024</v>
      </c>
    </row>
    <row r="323" spans="1:15" s="232" customFormat="1" ht="16.95" customHeight="1">
      <c r="A323" s="277" t="s">
        <v>629</v>
      </c>
      <c r="B323" s="282" t="s">
        <v>45</v>
      </c>
      <c r="C323" s="283" t="s">
        <v>812</v>
      </c>
      <c r="D323" s="284">
        <v>200</v>
      </c>
      <c r="E323" s="285">
        <v>200</v>
      </c>
      <c r="F323" s="295">
        <f t="shared" si="44"/>
        <v>0</v>
      </c>
      <c r="G323" s="286">
        <v>1.0364</v>
      </c>
      <c r="H323" s="287">
        <f t="shared" si="39"/>
        <v>207</v>
      </c>
      <c r="I323" s="287">
        <f t="shared" si="36"/>
        <v>7</v>
      </c>
      <c r="J323" s="288">
        <v>207</v>
      </c>
      <c r="K323" s="287">
        <f t="shared" si="40"/>
        <v>2.0699999999999998</v>
      </c>
      <c r="L323" s="287">
        <f t="shared" si="41"/>
        <v>2.1</v>
      </c>
      <c r="M323" s="287">
        <v>207</v>
      </c>
      <c r="N323" s="280">
        <v>207</v>
      </c>
      <c r="O323" s="289">
        <f t="shared" si="38"/>
        <v>1</v>
      </c>
    </row>
    <row r="324" spans="1:15" s="232" customFormat="1" ht="16.95" customHeight="1">
      <c r="A324" s="277" t="s">
        <v>631</v>
      </c>
      <c r="B324" s="282" t="s">
        <v>627</v>
      </c>
      <c r="C324" s="283" t="s">
        <v>808</v>
      </c>
      <c r="D324" s="284">
        <v>2000</v>
      </c>
      <c r="E324" s="285">
        <v>2000</v>
      </c>
      <c r="F324" s="295">
        <f t="shared" si="44"/>
        <v>0</v>
      </c>
      <c r="G324" s="286">
        <v>1.0364</v>
      </c>
      <c r="H324" s="287">
        <f t="shared" si="39"/>
        <v>2073</v>
      </c>
      <c r="I324" s="287">
        <f t="shared" si="36"/>
        <v>73</v>
      </c>
      <c r="J324" s="288">
        <f t="shared" si="37"/>
        <v>2177</v>
      </c>
      <c r="K324" s="287">
        <f t="shared" si="40"/>
        <v>21.77</v>
      </c>
      <c r="L324" s="287">
        <f t="shared" si="41"/>
        <v>21.8</v>
      </c>
      <c r="M324" s="287">
        <f t="shared" si="42"/>
        <v>2180</v>
      </c>
      <c r="N324" s="280">
        <v>2180</v>
      </c>
      <c r="O324" s="289">
        <f t="shared" si="38"/>
        <v>1.0516160154365655</v>
      </c>
    </row>
    <row r="325" spans="1:15" s="232" customFormat="1" ht="16.95" customHeight="1">
      <c r="A325" s="277" t="s">
        <v>632</v>
      </c>
      <c r="B325" s="282" t="s">
        <v>628</v>
      </c>
      <c r="C325" s="283" t="s">
        <v>809</v>
      </c>
      <c r="D325" s="284">
        <v>2000</v>
      </c>
      <c r="E325" s="285">
        <v>2000</v>
      </c>
      <c r="F325" s="295">
        <f t="shared" si="44"/>
        <v>0</v>
      </c>
      <c r="G325" s="286">
        <v>1.0364</v>
      </c>
      <c r="H325" s="287">
        <f t="shared" si="39"/>
        <v>2073</v>
      </c>
      <c r="I325" s="287">
        <f t="shared" si="36"/>
        <v>73</v>
      </c>
      <c r="J325" s="288">
        <f t="shared" si="37"/>
        <v>2177</v>
      </c>
      <c r="K325" s="287">
        <f t="shared" si="40"/>
        <v>21.77</v>
      </c>
      <c r="L325" s="287">
        <f t="shared" si="41"/>
        <v>21.8</v>
      </c>
      <c r="M325" s="287">
        <f t="shared" si="42"/>
        <v>2180</v>
      </c>
      <c r="N325" s="280">
        <v>2180</v>
      </c>
      <c r="O325" s="289">
        <f t="shared" si="38"/>
        <v>1.0516160154365655</v>
      </c>
    </row>
    <row r="326" spans="1:15" s="232" customFormat="1" ht="16.95" customHeight="1">
      <c r="A326" s="277" t="s">
        <v>633</v>
      </c>
      <c r="B326" s="282" t="s">
        <v>626</v>
      </c>
      <c r="C326" s="283" t="s">
        <v>810</v>
      </c>
      <c r="D326" s="284">
        <v>2000</v>
      </c>
      <c r="E326" s="285">
        <v>2000</v>
      </c>
      <c r="F326" s="295">
        <f t="shared" si="44"/>
        <v>0</v>
      </c>
      <c r="G326" s="286">
        <v>1.0364</v>
      </c>
      <c r="H326" s="287">
        <f t="shared" si="39"/>
        <v>2073</v>
      </c>
      <c r="I326" s="287">
        <f t="shared" si="36"/>
        <v>73</v>
      </c>
      <c r="J326" s="288">
        <f t="shared" si="37"/>
        <v>2177</v>
      </c>
      <c r="K326" s="287">
        <f t="shared" si="40"/>
        <v>21.77</v>
      </c>
      <c r="L326" s="287">
        <f t="shared" si="41"/>
        <v>21.8</v>
      </c>
      <c r="M326" s="287">
        <f t="shared" si="42"/>
        <v>2180</v>
      </c>
      <c r="N326" s="280">
        <v>2180</v>
      </c>
      <c r="O326" s="289">
        <f t="shared" si="38"/>
        <v>1.0516160154365655</v>
      </c>
    </row>
    <row r="327" spans="1:15" s="232" customFormat="1" ht="16.95" customHeight="1">
      <c r="A327" s="277" t="s">
        <v>651</v>
      </c>
      <c r="B327" s="282" t="s">
        <v>652</v>
      </c>
      <c r="C327" s="283" t="s">
        <v>811</v>
      </c>
      <c r="D327" s="284"/>
      <c r="E327" s="285">
        <v>1000</v>
      </c>
      <c r="F327" s="295"/>
      <c r="G327" s="286">
        <v>1.0364</v>
      </c>
      <c r="H327" s="287">
        <f t="shared" si="39"/>
        <v>1036</v>
      </c>
      <c r="I327" s="287">
        <f t="shared" si="36"/>
        <v>36</v>
      </c>
      <c r="J327" s="288">
        <f t="shared" si="37"/>
        <v>1088</v>
      </c>
      <c r="K327" s="287">
        <f t="shared" si="40"/>
        <v>10.88</v>
      </c>
      <c r="L327" s="287">
        <f t="shared" si="41"/>
        <v>10.9</v>
      </c>
      <c r="M327" s="287">
        <f t="shared" si="42"/>
        <v>1090</v>
      </c>
      <c r="N327" s="280">
        <v>1100</v>
      </c>
      <c r="O327" s="289">
        <f t="shared" si="38"/>
        <v>1.0617760617760619</v>
      </c>
    </row>
    <row r="328" spans="1:15" s="232" customFormat="1" ht="16.95" customHeight="1">
      <c r="A328" s="277"/>
      <c r="B328" s="290"/>
      <c r="C328" s="291" t="s">
        <v>558</v>
      </c>
      <c r="D328" s="284"/>
      <c r="E328" s="292"/>
      <c r="F328" s="293"/>
      <c r="G328" s="292"/>
      <c r="H328" s="291"/>
      <c r="I328" s="291"/>
      <c r="J328" s="294"/>
      <c r="K328" s="287"/>
      <c r="L328" s="287"/>
      <c r="M328" s="291"/>
      <c r="N328" s="280"/>
      <c r="O328" s="289"/>
    </row>
    <row r="329" spans="1:15" s="232" customFormat="1" ht="16.95" customHeight="1">
      <c r="A329" s="277">
        <v>291</v>
      </c>
      <c r="B329" s="282" t="s">
        <v>559</v>
      </c>
      <c r="C329" s="283" t="s">
        <v>560</v>
      </c>
      <c r="D329" s="284">
        <v>140</v>
      </c>
      <c r="E329" s="285">
        <f t="shared" si="43"/>
        <v>150</v>
      </c>
      <c r="F329" s="295">
        <f t="shared" si="44"/>
        <v>10</v>
      </c>
      <c r="G329" s="286">
        <v>1.0364</v>
      </c>
      <c r="H329" s="287">
        <f t="shared" si="39"/>
        <v>155</v>
      </c>
      <c r="I329" s="287">
        <f t="shared" si="36"/>
        <v>5</v>
      </c>
      <c r="J329" s="288">
        <f t="shared" si="37"/>
        <v>163</v>
      </c>
      <c r="K329" s="287">
        <f t="shared" si="40"/>
        <v>1.63</v>
      </c>
      <c r="L329" s="287">
        <f t="shared" si="41"/>
        <v>1.6</v>
      </c>
      <c r="M329" s="287">
        <f t="shared" si="42"/>
        <v>160</v>
      </c>
      <c r="N329" s="280">
        <v>160</v>
      </c>
      <c r="O329" s="289">
        <f t="shared" si="38"/>
        <v>1.032258064516129</v>
      </c>
    </row>
    <row r="330" spans="1:15" s="232" customFormat="1" ht="16.95" customHeight="1">
      <c r="A330" s="277">
        <v>292</v>
      </c>
      <c r="B330" s="282" t="s">
        <v>561</v>
      </c>
      <c r="C330" s="283" t="s">
        <v>562</v>
      </c>
      <c r="D330" s="284">
        <v>140</v>
      </c>
      <c r="E330" s="285">
        <f t="shared" si="43"/>
        <v>150</v>
      </c>
      <c r="F330" s="295">
        <f t="shared" si="44"/>
        <v>10</v>
      </c>
      <c r="G330" s="286">
        <v>1.0364</v>
      </c>
      <c r="H330" s="287">
        <f t="shared" si="39"/>
        <v>155</v>
      </c>
      <c r="I330" s="287">
        <f t="shared" si="36"/>
        <v>5</v>
      </c>
      <c r="J330" s="288">
        <f t="shared" si="37"/>
        <v>163</v>
      </c>
      <c r="K330" s="287">
        <f t="shared" si="40"/>
        <v>1.63</v>
      </c>
      <c r="L330" s="287">
        <f t="shared" si="41"/>
        <v>1.6</v>
      </c>
      <c r="M330" s="287">
        <f t="shared" si="42"/>
        <v>160</v>
      </c>
      <c r="N330" s="280">
        <v>160</v>
      </c>
      <c r="O330" s="289">
        <f t="shared" si="38"/>
        <v>1.032258064516129</v>
      </c>
    </row>
    <row r="331" spans="1:15" s="232" customFormat="1" ht="16.95" customHeight="1">
      <c r="A331" s="277">
        <v>293</v>
      </c>
      <c r="B331" s="282" t="s">
        <v>563</v>
      </c>
      <c r="C331" s="283" t="s">
        <v>564</v>
      </c>
      <c r="D331" s="284">
        <v>140</v>
      </c>
      <c r="E331" s="285">
        <f t="shared" si="43"/>
        <v>150</v>
      </c>
      <c r="F331" s="295">
        <f t="shared" si="44"/>
        <v>10</v>
      </c>
      <c r="G331" s="286">
        <v>1.0364</v>
      </c>
      <c r="H331" s="287">
        <f t="shared" si="39"/>
        <v>155</v>
      </c>
      <c r="I331" s="287">
        <f t="shared" si="36"/>
        <v>5</v>
      </c>
      <c r="J331" s="288">
        <f t="shared" si="37"/>
        <v>163</v>
      </c>
      <c r="K331" s="287">
        <f t="shared" si="40"/>
        <v>1.63</v>
      </c>
      <c r="L331" s="287">
        <f t="shared" si="41"/>
        <v>1.6</v>
      </c>
      <c r="M331" s="287">
        <f t="shared" si="42"/>
        <v>160</v>
      </c>
      <c r="N331" s="280">
        <v>160</v>
      </c>
      <c r="O331" s="289">
        <f t="shared" si="38"/>
        <v>1.032258064516129</v>
      </c>
    </row>
    <row r="332" spans="1:15" s="232" customFormat="1" ht="16.95" customHeight="1">
      <c r="A332" s="277">
        <v>294</v>
      </c>
      <c r="B332" s="282" t="s">
        <v>565</v>
      </c>
      <c r="C332" s="283" t="s">
        <v>566</v>
      </c>
      <c r="D332" s="284">
        <v>70</v>
      </c>
      <c r="E332" s="285">
        <v>75</v>
      </c>
      <c r="F332" s="295">
        <f t="shared" si="44"/>
        <v>5</v>
      </c>
      <c r="G332" s="286">
        <v>1.0364</v>
      </c>
      <c r="H332" s="287">
        <f t="shared" si="39"/>
        <v>78</v>
      </c>
      <c r="I332" s="287">
        <f t="shared" si="36"/>
        <v>3</v>
      </c>
      <c r="J332" s="288">
        <f t="shared" si="37"/>
        <v>82</v>
      </c>
      <c r="K332" s="287">
        <f t="shared" si="40"/>
        <v>0.82</v>
      </c>
      <c r="L332" s="287">
        <f t="shared" si="41"/>
        <v>0.8</v>
      </c>
      <c r="M332" s="287">
        <f t="shared" si="42"/>
        <v>80</v>
      </c>
      <c r="N332" s="280">
        <v>80</v>
      </c>
      <c r="O332" s="289">
        <f t="shared" si="38"/>
        <v>1.0256410256410255</v>
      </c>
    </row>
    <row r="333" spans="1:15" s="232" customFormat="1" ht="16.95" customHeight="1">
      <c r="A333" s="277">
        <v>295</v>
      </c>
      <c r="B333" s="282" t="s">
        <v>567</v>
      </c>
      <c r="C333" s="283" t="s">
        <v>568</v>
      </c>
      <c r="D333" s="284">
        <v>420</v>
      </c>
      <c r="E333" s="285">
        <f t="shared" si="43"/>
        <v>440</v>
      </c>
      <c r="F333" s="295">
        <f t="shared" si="44"/>
        <v>20</v>
      </c>
      <c r="G333" s="286">
        <v>1.0364</v>
      </c>
      <c r="H333" s="287">
        <f t="shared" si="39"/>
        <v>456</v>
      </c>
      <c r="I333" s="287">
        <f t="shared" si="36"/>
        <v>16</v>
      </c>
      <c r="J333" s="288">
        <f t="shared" si="37"/>
        <v>479</v>
      </c>
      <c r="K333" s="287">
        <f t="shared" si="40"/>
        <v>4.79</v>
      </c>
      <c r="L333" s="287">
        <f t="shared" si="41"/>
        <v>4.8</v>
      </c>
      <c r="M333" s="287">
        <f t="shared" si="42"/>
        <v>480</v>
      </c>
      <c r="N333" s="280">
        <v>480</v>
      </c>
      <c r="O333" s="289">
        <f t="shared" si="38"/>
        <v>1.0526315789473684</v>
      </c>
    </row>
    <row r="334" spans="1:15" s="232" customFormat="1" ht="16.95" customHeight="1">
      <c r="A334" s="277">
        <v>296</v>
      </c>
      <c r="B334" s="282" t="s">
        <v>569</v>
      </c>
      <c r="C334" s="283" t="s">
        <v>570</v>
      </c>
      <c r="D334" s="284">
        <v>140</v>
      </c>
      <c r="E334" s="285">
        <f t="shared" si="43"/>
        <v>150</v>
      </c>
      <c r="F334" s="295">
        <f t="shared" si="44"/>
        <v>10</v>
      </c>
      <c r="G334" s="286">
        <v>1.0364</v>
      </c>
      <c r="H334" s="287">
        <f t="shared" si="39"/>
        <v>155</v>
      </c>
      <c r="I334" s="287">
        <f t="shared" si="36"/>
        <v>5</v>
      </c>
      <c r="J334" s="288">
        <f t="shared" si="37"/>
        <v>163</v>
      </c>
      <c r="K334" s="287">
        <f t="shared" si="40"/>
        <v>1.63</v>
      </c>
      <c r="L334" s="287">
        <f t="shared" si="41"/>
        <v>1.6</v>
      </c>
      <c r="M334" s="287">
        <f t="shared" si="42"/>
        <v>160</v>
      </c>
      <c r="N334" s="280">
        <v>160</v>
      </c>
      <c r="O334" s="289">
        <f t="shared" si="38"/>
        <v>1.032258064516129</v>
      </c>
    </row>
    <row r="335" spans="1:15" s="232" customFormat="1" ht="16.95" customHeight="1">
      <c r="A335" s="277"/>
      <c r="B335" s="290"/>
      <c r="C335" s="291" t="s">
        <v>644</v>
      </c>
      <c r="D335" s="284"/>
      <c r="E335" s="291"/>
      <c r="F335" s="284"/>
      <c r="G335" s="292"/>
      <c r="H335" s="291"/>
      <c r="I335" s="291"/>
      <c r="J335" s="294"/>
      <c r="K335" s="287"/>
      <c r="L335" s="287"/>
      <c r="M335" s="291"/>
      <c r="N335" s="280"/>
      <c r="O335" s="289"/>
    </row>
    <row r="336" spans="1:15" s="232" customFormat="1" ht="16.95" customHeight="1">
      <c r="A336" s="277">
        <v>297</v>
      </c>
      <c r="B336" s="296"/>
      <c r="C336" s="283" t="s">
        <v>645</v>
      </c>
      <c r="D336" s="284">
        <v>17288</v>
      </c>
      <c r="E336" s="285">
        <v>18304</v>
      </c>
      <c r="F336" s="295">
        <f t="shared" si="44"/>
        <v>1016</v>
      </c>
      <c r="G336" s="286">
        <v>1.0364</v>
      </c>
      <c r="H336" s="287">
        <f t="shared" si="39"/>
        <v>18970</v>
      </c>
      <c r="I336" s="287">
        <f t="shared" si="36"/>
        <v>666</v>
      </c>
      <c r="J336" s="288">
        <v>19800</v>
      </c>
      <c r="K336" s="287">
        <f t="shared" si="40"/>
        <v>198</v>
      </c>
      <c r="L336" s="287">
        <f t="shared" si="41"/>
        <v>198</v>
      </c>
      <c r="M336" s="287">
        <v>22130</v>
      </c>
      <c r="N336" s="280">
        <v>22130</v>
      </c>
      <c r="O336" s="289">
        <f t="shared" si="38"/>
        <v>1.1665788086452293</v>
      </c>
    </row>
    <row r="337" spans="1:15" s="232" customFormat="1" ht="16.95" customHeight="1">
      <c r="A337" s="277">
        <v>298</v>
      </c>
      <c r="B337" s="296"/>
      <c r="C337" s="283" t="s">
        <v>571</v>
      </c>
      <c r="D337" s="284">
        <v>280</v>
      </c>
      <c r="E337" s="285">
        <v>300</v>
      </c>
      <c r="F337" s="295">
        <f t="shared" si="44"/>
        <v>20</v>
      </c>
      <c r="G337" s="286">
        <v>1.0364</v>
      </c>
      <c r="H337" s="287">
        <f t="shared" si="39"/>
        <v>311</v>
      </c>
      <c r="I337" s="287">
        <f t="shared" si="36"/>
        <v>11</v>
      </c>
      <c r="J337" s="288">
        <f t="shared" si="37"/>
        <v>327</v>
      </c>
      <c r="K337" s="287">
        <f t="shared" si="40"/>
        <v>3.27</v>
      </c>
      <c r="L337" s="287">
        <f t="shared" si="41"/>
        <v>3.3</v>
      </c>
      <c r="M337" s="287">
        <f t="shared" si="42"/>
        <v>330</v>
      </c>
      <c r="N337" s="280">
        <v>330</v>
      </c>
      <c r="O337" s="289">
        <f t="shared" si="38"/>
        <v>1.0610932475884245</v>
      </c>
    </row>
    <row r="338" spans="1:15" s="232" customFormat="1" ht="31.95" customHeight="1">
      <c r="A338" s="277">
        <v>299</v>
      </c>
      <c r="B338" s="296"/>
      <c r="C338" s="283" t="s">
        <v>604</v>
      </c>
      <c r="D338" s="284">
        <v>8500</v>
      </c>
      <c r="E338" s="285">
        <v>9000</v>
      </c>
      <c r="F338" s="295">
        <f t="shared" si="44"/>
        <v>500</v>
      </c>
      <c r="G338" s="286">
        <v>1.0364</v>
      </c>
      <c r="H338" s="287">
        <f t="shared" si="39"/>
        <v>9328</v>
      </c>
      <c r="I338" s="287">
        <f t="shared" si="36"/>
        <v>328</v>
      </c>
      <c r="J338" s="288">
        <f t="shared" si="37"/>
        <v>9794</v>
      </c>
      <c r="K338" s="287">
        <f t="shared" si="40"/>
        <v>97.94</v>
      </c>
      <c r="L338" s="287">
        <f t="shared" si="41"/>
        <v>97.9</v>
      </c>
      <c r="M338" s="287">
        <f t="shared" si="42"/>
        <v>9790</v>
      </c>
      <c r="N338" s="280">
        <v>9790</v>
      </c>
      <c r="O338" s="289">
        <f t="shared" si="38"/>
        <v>1.0495283018867925</v>
      </c>
    </row>
    <row r="339" spans="1:15" s="232" customFormat="1" ht="16.95" customHeight="1">
      <c r="A339" s="277">
        <v>300</v>
      </c>
      <c r="B339" s="296"/>
      <c r="C339" s="279" t="s">
        <v>572</v>
      </c>
      <c r="D339" s="284">
        <v>129</v>
      </c>
      <c r="E339" s="285">
        <f t="shared" si="43"/>
        <v>130</v>
      </c>
      <c r="F339" s="295">
        <f t="shared" si="44"/>
        <v>1</v>
      </c>
      <c r="G339" s="286">
        <v>1.0364</v>
      </c>
      <c r="H339" s="287">
        <f t="shared" si="39"/>
        <v>135</v>
      </c>
      <c r="I339" s="287">
        <f t="shared" si="36"/>
        <v>5</v>
      </c>
      <c r="J339" s="288">
        <f t="shared" si="37"/>
        <v>142</v>
      </c>
      <c r="K339" s="287">
        <f t="shared" si="40"/>
        <v>1.42</v>
      </c>
      <c r="L339" s="287">
        <f t="shared" si="41"/>
        <v>1.4</v>
      </c>
      <c r="M339" s="287">
        <f t="shared" si="42"/>
        <v>140</v>
      </c>
      <c r="N339" s="280">
        <v>140</v>
      </c>
      <c r="O339" s="289">
        <f t="shared" si="38"/>
        <v>1.037037037037037</v>
      </c>
    </row>
    <row r="340" spans="1:15" s="232" customFormat="1" ht="16.95" customHeight="1">
      <c r="A340" s="277">
        <v>301</v>
      </c>
      <c r="B340" s="296"/>
      <c r="C340" s="279" t="s">
        <v>587</v>
      </c>
      <c r="D340" s="284">
        <v>46</v>
      </c>
      <c r="E340" s="285">
        <v>46</v>
      </c>
      <c r="F340" s="297"/>
      <c r="G340" s="286">
        <v>1.0364</v>
      </c>
      <c r="H340" s="287">
        <f t="shared" si="39"/>
        <v>48</v>
      </c>
      <c r="I340" s="287">
        <f t="shared" si="36"/>
        <v>2</v>
      </c>
      <c r="J340" s="288">
        <f t="shared" si="37"/>
        <v>50</v>
      </c>
      <c r="K340" s="287">
        <f t="shared" si="40"/>
        <v>0.5</v>
      </c>
      <c r="L340" s="287">
        <f t="shared" si="41"/>
        <v>0.5</v>
      </c>
      <c r="M340" s="287">
        <f t="shared" si="42"/>
        <v>50</v>
      </c>
      <c r="N340" s="280">
        <v>50</v>
      </c>
      <c r="O340" s="289">
        <f t="shared" si="38"/>
        <v>1.0416666666666667</v>
      </c>
    </row>
    <row r="341" spans="1:15" s="232" customFormat="1" ht="16.95" customHeight="1">
      <c r="A341" s="277">
        <v>302</v>
      </c>
      <c r="B341" s="296"/>
      <c r="C341" s="279" t="s">
        <v>619</v>
      </c>
      <c r="D341" s="284">
        <v>14</v>
      </c>
      <c r="E341" s="285">
        <v>14</v>
      </c>
      <c r="F341" s="297"/>
      <c r="G341" s="286">
        <v>1.0364</v>
      </c>
      <c r="H341" s="287">
        <f t="shared" si="39"/>
        <v>15</v>
      </c>
      <c r="I341" s="287">
        <f t="shared" si="36"/>
        <v>1</v>
      </c>
      <c r="J341" s="288">
        <f t="shared" si="37"/>
        <v>16</v>
      </c>
      <c r="K341" s="287">
        <f t="shared" si="40"/>
        <v>0.16</v>
      </c>
      <c r="L341" s="287">
        <f t="shared" si="41"/>
        <v>0.2</v>
      </c>
      <c r="M341" s="287">
        <f t="shared" si="42"/>
        <v>20</v>
      </c>
      <c r="N341" s="280">
        <v>20</v>
      </c>
      <c r="O341" s="289">
        <f t="shared" si="38"/>
        <v>1.3333333333333333</v>
      </c>
    </row>
    <row r="342" spans="1:15" s="232" customFormat="1" ht="16.95" customHeight="1">
      <c r="A342" s="277">
        <v>303</v>
      </c>
      <c r="B342" s="296"/>
      <c r="C342" s="283" t="s">
        <v>573</v>
      </c>
      <c r="D342" s="284">
        <v>23.5</v>
      </c>
      <c r="E342" s="285">
        <v>23.5</v>
      </c>
      <c r="F342" s="297"/>
      <c r="G342" s="286">
        <v>1.0364</v>
      </c>
      <c r="H342" s="287">
        <f t="shared" si="39"/>
        <v>24</v>
      </c>
      <c r="I342" s="287">
        <f t="shared" si="36"/>
        <v>0.5</v>
      </c>
      <c r="J342" s="288">
        <f t="shared" si="37"/>
        <v>25</v>
      </c>
      <c r="K342" s="287">
        <f t="shared" si="40"/>
        <v>0.25</v>
      </c>
      <c r="L342" s="287">
        <f t="shared" si="41"/>
        <v>0.3</v>
      </c>
      <c r="M342" s="287">
        <f t="shared" si="42"/>
        <v>30</v>
      </c>
      <c r="N342" s="280">
        <v>30</v>
      </c>
      <c r="O342" s="289">
        <f t="shared" si="38"/>
        <v>1.25</v>
      </c>
    </row>
    <row r="343" spans="1:15" s="232" customFormat="1" ht="16.95" customHeight="1">
      <c r="A343" s="277">
        <v>304</v>
      </c>
      <c r="B343" s="296"/>
      <c r="C343" s="279" t="s">
        <v>574</v>
      </c>
      <c r="D343" s="284">
        <v>81</v>
      </c>
      <c r="E343" s="285">
        <v>81</v>
      </c>
      <c r="F343" s="297"/>
      <c r="G343" s="286">
        <v>1.0364</v>
      </c>
      <c r="H343" s="287">
        <v>101</v>
      </c>
      <c r="I343" s="287">
        <f t="shared" si="36"/>
        <v>20</v>
      </c>
      <c r="J343" s="288">
        <f t="shared" si="37"/>
        <v>106</v>
      </c>
      <c r="K343" s="287">
        <f t="shared" si="40"/>
        <v>1.06</v>
      </c>
      <c r="L343" s="287">
        <f t="shared" si="41"/>
        <v>1.1000000000000001</v>
      </c>
      <c r="M343" s="287">
        <f t="shared" si="42"/>
        <v>110.00000000000001</v>
      </c>
      <c r="N343" s="280">
        <v>110.00000000000001</v>
      </c>
      <c r="O343" s="289">
        <f t="shared" si="38"/>
        <v>1.0891089108910892</v>
      </c>
    </row>
    <row r="344" spans="1:15" s="232" customFormat="1" ht="16.95" customHeight="1">
      <c r="A344" s="277">
        <v>305</v>
      </c>
      <c r="B344" s="296"/>
      <c r="C344" s="279" t="s">
        <v>979</v>
      </c>
      <c r="D344" s="284">
        <v>101</v>
      </c>
      <c r="E344" s="285">
        <v>101</v>
      </c>
      <c r="F344" s="297"/>
      <c r="G344" s="286">
        <v>1.0364</v>
      </c>
      <c r="H344" s="287">
        <f t="shared" si="39"/>
        <v>105</v>
      </c>
      <c r="I344" s="287">
        <f t="shared" si="36"/>
        <v>4</v>
      </c>
      <c r="J344" s="288">
        <f t="shared" si="37"/>
        <v>110</v>
      </c>
      <c r="K344" s="287">
        <f t="shared" si="40"/>
        <v>1.1000000000000001</v>
      </c>
      <c r="L344" s="287">
        <f t="shared" si="41"/>
        <v>1.1000000000000001</v>
      </c>
      <c r="M344" s="287">
        <f t="shared" si="42"/>
        <v>110.00000000000001</v>
      </c>
      <c r="N344" s="280">
        <v>110.00000000000001</v>
      </c>
      <c r="O344" s="289">
        <f t="shared" si="38"/>
        <v>1.0476190476190477</v>
      </c>
    </row>
    <row r="345" spans="1:15" s="232" customFormat="1" ht="16.95" hidden="1" customHeight="1">
      <c r="A345" s="277">
        <v>306</v>
      </c>
      <c r="B345" s="296"/>
      <c r="C345" s="283" t="s">
        <v>807</v>
      </c>
      <c r="D345" s="284">
        <v>91</v>
      </c>
      <c r="E345" s="285">
        <v>91</v>
      </c>
      <c r="F345" s="297"/>
      <c r="G345" s="286">
        <v>1.0364</v>
      </c>
      <c r="H345" s="287">
        <v>104</v>
      </c>
      <c r="I345" s="287">
        <f t="shared" si="36"/>
        <v>13</v>
      </c>
      <c r="J345" s="288">
        <f t="shared" si="37"/>
        <v>109</v>
      </c>
      <c r="K345" s="287">
        <f t="shared" si="40"/>
        <v>1.0900000000000001</v>
      </c>
      <c r="L345" s="287">
        <f t="shared" si="41"/>
        <v>1.1000000000000001</v>
      </c>
      <c r="M345" s="287">
        <f t="shared" si="42"/>
        <v>110.00000000000001</v>
      </c>
      <c r="N345" s="280">
        <v>104</v>
      </c>
      <c r="O345" s="289">
        <f t="shared" si="38"/>
        <v>1</v>
      </c>
    </row>
    <row r="346" spans="1:15" s="232" customFormat="1" ht="16.95" customHeight="1">
      <c r="A346" s="277">
        <v>307</v>
      </c>
      <c r="B346" s="296"/>
      <c r="C346" s="279" t="s">
        <v>576</v>
      </c>
      <c r="D346" s="284">
        <v>53</v>
      </c>
      <c r="E346" s="285">
        <v>53</v>
      </c>
      <c r="F346" s="297"/>
      <c r="G346" s="286">
        <v>1.0364</v>
      </c>
      <c r="H346" s="287">
        <f t="shared" si="39"/>
        <v>55</v>
      </c>
      <c r="I346" s="287">
        <f t="shared" si="36"/>
        <v>2</v>
      </c>
      <c r="J346" s="288">
        <f t="shared" si="37"/>
        <v>58</v>
      </c>
      <c r="K346" s="287">
        <f t="shared" si="40"/>
        <v>0.57999999999999996</v>
      </c>
      <c r="L346" s="287">
        <f t="shared" si="41"/>
        <v>0.6</v>
      </c>
      <c r="M346" s="287">
        <f t="shared" si="42"/>
        <v>60</v>
      </c>
      <c r="N346" s="280">
        <v>60</v>
      </c>
      <c r="O346" s="289">
        <f t="shared" si="38"/>
        <v>1.0909090909090908</v>
      </c>
    </row>
    <row r="347" spans="1:15" s="232" customFormat="1" ht="16.95" customHeight="1">
      <c r="A347" s="277">
        <v>308</v>
      </c>
      <c r="B347" s="296"/>
      <c r="C347" s="279" t="s">
        <v>579</v>
      </c>
      <c r="D347" s="284">
        <v>25</v>
      </c>
      <c r="E347" s="285">
        <v>25</v>
      </c>
      <c r="F347" s="297"/>
      <c r="G347" s="286">
        <v>1.0364</v>
      </c>
      <c r="H347" s="287">
        <f t="shared" si="39"/>
        <v>26</v>
      </c>
      <c r="I347" s="287">
        <f t="shared" si="36"/>
        <v>1</v>
      </c>
      <c r="J347" s="288">
        <f t="shared" ref="J347:J410" si="45">ROUND(H347*1.05, 0)</f>
        <v>27</v>
      </c>
      <c r="K347" s="287">
        <f t="shared" si="40"/>
        <v>0.27</v>
      </c>
      <c r="L347" s="287">
        <f t="shared" si="41"/>
        <v>0.3</v>
      </c>
      <c r="M347" s="287">
        <f t="shared" si="42"/>
        <v>30</v>
      </c>
      <c r="N347" s="280">
        <v>30</v>
      </c>
      <c r="O347" s="289">
        <f t="shared" ref="O347:O410" si="46">N347/H347</f>
        <v>1.1538461538461537</v>
      </c>
    </row>
    <row r="348" spans="1:15" s="232" customFormat="1" ht="16.95" hidden="1" customHeight="1">
      <c r="A348" s="277">
        <v>309</v>
      </c>
      <c r="B348" s="296"/>
      <c r="C348" s="283" t="s">
        <v>663</v>
      </c>
      <c r="D348" s="284">
        <v>32</v>
      </c>
      <c r="E348" s="285">
        <v>32</v>
      </c>
      <c r="F348" s="297"/>
      <c r="G348" s="286">
        <v>1.0364</v>
      </c>
      <c r="H348" s="287">
        <f t="shared" si="39"/>
        <v>33</v>
      </c>
      <c r="I348" s="287">
        <f t="shared" ref="I348:I411" si="47">H348-E348</f>
        <v>1</v>
      </c>
      <c r="J348" s="288">
        <v>33</v>
      </c>
      <c r="K348" s="287">
        <f t="shared" ref="K348:K411" si="48">J348/100</f>
        <v>0.33</v>
      </c>
      <c r="L348" s="287">
        <f t="shared" ref="L348:L411" si="49">ROUND(K348,1)</f>
        <v>0.3</v>
      </c>
      <c r="M348" s="287">
        <v>33</v>
      </c>
      <c r="N348" s="280">
        <v>33</v>
      </c>
      <c r="O348" s="289">
        <f t="shared" si="46"/>
        <v>1</v>
      </c>
    </row>
    <row r="349" spans="1:15" s="232" customFormat="1" ht="16.95" customHeight="1">
      <c r="A349" s="277" t="s">
        <v>653</v>
      </c>
      <c r="B349" s="296"/>
      <c r="C349" s="279" t="s">
        <v>654</v>
      </c>
      <c r="D349" s="284"/>
      <c r="E349" s="285"/>
      <c r="F349" s="297"/>
      <c r="G349" s="286"/>
      <c r="H349" s="287">
        <v>46</v>
      </c>
      <c r="I349" s="287"/>
      <c r="J349" s="232">
        <f t="shared" si="45"/>
        <v>48</v>
      </c>
      <c r="K349" s="287">
        <f t="shared" si="48"/>
        <v>0.48</v>
      </c>
      <c r="L349" s="287">
        <f t="shared" si="49"/>
        <v>0.5</v>
      </c>
      <c r="M349" s="287">
        <f t="shared" ref="M349:M412" si="50">L349*100</f>
        <v>50</v>
      </c>
      <c r="N349" s="280">
        <v>50</v>
      </c>
      <c r="O349" s="289">
        <f t="shared" si="46"/>
        <v>1.0869565217391304</v>
      </c>
    </row>
    <row r="350" spans="1:15" s="232" customFormat="1" ht="16.95" customHeight="1">
      <c r="A350" s="277">
        <v>310</v>
      </c>
      <c r="B350" s="296"/>
      <c r="C350" s="279" t="s">
        <v>578</v>
      </c>
      <c r="D350" s="284">
        <v>25</v>
      </c>
      <c r="E350" s="285">
        <v>25</v>
      </c>
      <c r="F350" s="297"/>
      <c r="G350" s="286">
        <v>1.0364</v>
      </c>
      <c r="H350" s="287">
        <f t="shared" ref="H350:H413" si="51">ROUND(E350*G350, 0)</f>
        <v>26</v>
      </c>
      <c r="I350" s="287">
        <f t="shared" si="47"/>
        <v>1</v>
      </c>
      <c r="J350" s="288">
        <f t="shared" si="45"/>
        <v>27</v>
      </c>
      <c r="K350" s="287">
        <f t="shared" si="48"/>
        <v>0.27</v>
      </c>
      <c r="L350" s="287">
        <f t="shared" si="49"/>
        <v>0.3</v>
      </c>
      <c r="M350" s="287">
        <f t="shared" si="50"/>
        <v>30</v>
      </c>
      <c r="N350" s="280">
        <v>30</v>
      </c>
      <c r="O350" s="289">
        <f t="shared" si="46"/>
        <v>1.1538461538461537</v>
      </c>
    </row>
    <row r="351" spans="1:15" s="232" customFormat="1" ht="16.95" customHeight="1">
      <c r="A351" s="277">
        <v>311</v>
      </c>
      <c r="B351" s="296"/>
      <c r="C351" s="279" t="s">
        <v>577</v>
      </c>
      <c r="D351" s="284">
        <v>2.5</v>
      </c>
      <c r="E351" s="285">
        <v>2.5</v>
      </c>
      <c r="F351" s="297"/>
      <c r="G351" s="286">
        <v>1.0364</v>
      </c>
      <c r="H351" s="287">
        <f t="shared" si="51"/>
        <v>3</v>
      </c>
      <c r="I351" s="287">
        <f t="shared" si="47"/>
        <v>0.5</v>
      </c>
      <c r="J351" s="288">
        <f t="shared" si="45"/>
        <v>3</v>
      </c>
      <c r="K351" s="287">
        <f t="shared" si="48"/>
        <v>0.03</v>
      </c>
      <c r="L351" s="287">
        <f t="shared" si="49"/>
        <v>0</v>
      </c>
      <c r="M351" s="287">
        <v>3</v>
      </c>
      <c r="N351" s="280">
        <v>30</v>
      </c>
      <c r="O351" s="289">
        <f t="shared" si="46"/>
        <v>10</v>
      </c>
    </row>
    <row r="352" spans="1:15" s="232" customFormat="1" ht="16.95" customHeight="1">
      <c r="A352" s="277">
        <v>312</v>
      </c>
      <c r="B352" s="296"/>
      <c r="C352" s="279" t="s">
        <v>580</v>
      </c>
      <c r="D352" s="284">
        <v>35</v>
      </c>
      <c r="E352" s="285">
        <v>35</v>
      </c>
      <c r="F352" s="297"/>
      <c r="G352" s="286">
        <v>1.0364</v>
      </c>
      <c r="H352" s="287">
        <f t="shared" si="51"/>
        <v>36</v>
      </c>
      <c r="I352" s="287">
        <f t="shared" si="47"/>
        <v>1</v>
      </c>
      <c r="J352" s="288">
        <f t="shared" si="45"/>
        <v>38</v>
      </c>
      <c r="K352" s="287">
        <f t="shared" si="48"/>
        <v>0.38</v>
      </c>
      <c r="L352" s="287">
        <f t="shared" si="49"/>
        <v>0.4</v>
      </c>
      <c r="M352" s="287">
        <f t="shared" si="50"/>
        <v>40</v>
      </c>
      <c r="N352" s="280">
        <v>40</v>
      </c>
      <c r="O352" s="289">
        <f t="shared" si="46"/>
        <v>1.1111111111111112</v>
      </c>
    </row>
    <row r="353" spans="1:15" s="232" customFormat="1" ht="16.95" customHeight="1">
      <c r="A353" s="277">
        <v>313</v>
      </c>
      <c r="B353" s="296"/>
      <c r="C353" s="279" t="s">
        <v>989</v>
      </c>
      <c r="D353" s="284">
        <v>2</v>
      </c>
      <c r="E353" s="285">
        <v>2</v>
      </c>
      <c r="F353" s="297"/>
      <c r="G353" s="286">
        <v>1.0364</v>
      </c>
      <c r="H353" s="287">
        <f t="shared" si="51"/>
        <v>2</v>
      </c>
      <c r="I353" s="287">
        <f t="shared" si="47"/>
        <v>0</v>
      </c>
      <c r="J353" s="288">
        <f t="shared" si="45"/>
        <v>2</v>
      </c>
      <c r="K353" s="287">
        <f t="shared" si="48"/>
        <v>0.02</v>
      </c>
      <c r="L353" s="287">
        <f t="shared" si="49"/>
        <v>0</v>
      </c>
      <c r="M353" s="287">
        <v>2</v>
      </c>
      <c r="N353" s="280">
        <v>2</v>
      </c>
      <c r="O353" s="289">
        <f t="shared" si="46"/>
        <v>1</v>
      </c>
    </row>
    <row r="354" spans="1:15" s="232" customFormat="1" ht="16.95" customHeight="1">
      <c r="A354" s="277">
        <v>314</v>
      </c>
      <c r="B354" s="296"/>
      <c r="C354" s="279" t="s">
        <v>598</v>
      </c>
      <c r="D354" s="284">
        <v>4</v>
      </c>
      <c r="E354" s="285">
        <v>4</v>
      </c>
      <c r="F354" s="297"/>
      <c r="G354" s="286">
        <v>1.0364</v>
      </c>
      <c r="H354" s="287">
        <f t="shared" si="51"/>
        <v>4</v>
      </c>
      <c r="I354" s="287">
        <f t="shared" si="47"/>
        <v>0</v>
      </c>
      <c r="J354" s="288">
        <f t="shared" si="45"/>
        <v>4</v>
      </c>
      <c r="K354" s="287">
        <f t="shared" si="48"/>
        <v>0.04</v>
      </c>
      <c r="L354" s="287">
        <f t="shared" si="49"/>
        <v>0</v>
      </c>
      <c r="M354" s="287">
        <v>4</v>
      </c>
      <c r="N354" s="280">
        <v>5</v>
      </c>
      <c r="O354" s="289">
        <f t="shared" si="46"/>
        <v>1.25</v>
      </c>
    </row>
    <row r="355" spans="1:15" s="232" customFormat="1" ht="16.95" customHeight="1">
      <c r="A355" s="277">
        <v>315</v>
      </c>
      <c r="B355" s="296"/>
      <c r="C355" s="279" t="s">
        <v>599</v>
      </c>
      <c r="D355" s="284">
        <v>100</v>
      </c>
      <c r="E355" s="285">
        <v>100</v>
      </c>
      <c r="F355" s="297"/>
      <c r="G355" s="286">
        <v>1.0364</v>
      </c>
      <c r="H355" s="287">
        <f t="shared" si="51"/>
        <v>104</v>
      </c>
      <c r="I355" s="287">
        <f t="shared" si="47"/>
        <v>4</v>
      </c>
      <c r="J355" s="288">
        <f t="shared" si="45"/>
        <v>109</v>
      </c>
      <c r="K355" s="287">
        <f t="shared" si="48"/>
        <v>1.0900000000000001</v>
      </c>
      <c r="L355" s="287">
        <f t="shared" si="49"/>
        <v>1.1000000000000001</v>
      </c>
      <c r="M355" s="287">
        <f t="shared" si="50"/>
        <v>110.00000000000001</v>
      </c>
      <c r="N355" s="280">
        <v>110.00000000000001</v>
      </c>
      <c r="O355" s="289">
        <f t="shared" si="46"/>
        <v>1.0576923076923079</v>
      </c>
    </row>
    <row r="356" spans="1:15" s="232" customFormat="1" ht="16.95" customHeight="1">
      <c r="A356" s="277">
        <v>316</v>
      </c>
      <c r="B356" s="296"/>
      <c r="C356" s="279" t="s">
        <v>600</v>
      </c>
      <c r="D356" s="284">
        <v>107</v>
      </c>
      <c r="E356" s="285">
        <v>107</v>
      </c>
      <c r="F356" s="297"/>
      <c r="G356" s="286">
        <v>1.0364</v>
      </c>
      <c r="H356" s="287">
        <f t="shared" si="51"/>
        <v>111</v>
      </c>
      <c r="I356" s="287">
        <f t="shared" si="47"/>
        <v>4</v>
      </c>
      <c r="J356" s="288">
        <f t="shared" si="45"/>
        <v>117</v>
      </c>
      <c r="K356" s="287">
        <f t="shared" si="48"/>
        <v>1.17</v>
      </c>
      <c r="L356" s="287">
        <f t="shared" si="49"/>
        <v>1.2</v>
      </c>
      <c r="M356" s="287">
        <f t="shared" si="50"/>
        <v>120</v>
      </c>
      <c r="N356" s="280">
        <v>120</v>
      </c>
      <c r="O356" s="289">
        <f t="shared" si="46"/>
        <v>1.0810810810810811</v>
      </c>
    </row>
    <row r="357" spans="1:15" s="232" customFormat="1" ht="16.95" customHeight="1">
      <c r="A357" s="277">
        <v>317</v>
      </c>
      <c r="B357" s="296"/>
      <c r="C357" s="279" t="s">
        <v>601</v>
      </c>
      <c r="D357" s="284">
        <v>78</v>
      </c>
      <c r="E357" s="285">
        <v>78</v>
      </c>
      <c r="F357" s="297"/>
      <c r="G357" s="286">
        <v>1.0364</v>
      </c>
      <c r="H357" s="287">
        <f t="shared" si="51"/>
        <v>81</v>
      </c>
      <c r="I357" s="287">
        <f t="shared" si="47"/>
        <v>3</v>
      </c>
      <c r="J357" s="288">
        <f t="shared" si="45"/>
        <v>85</v>
      </c>
      <c r="K357" s="287">
        <f t="shared" si="48"/>
        <v>0.85</v>
      </c>
      <c r="L357" s="287">
        <f t="shared" si="49"/>
        <v>0.9</v>
      </c>
      <c r="M357" s="287">
        <f t="shared" si="50"/>
        <v>90</v>
      </c>
      <c r="N357" s="280">
        <v>90</v>
      </c>
      <c r="O357" s="289">
        <f t="shared" si="46"/>
        <v>1.1111111111111112</v>
      </c>
    </row>
    <row r="358" spans="1:15" s="232" customFormat="1" ht="16.95" customHeight="1">
      <c r="A358" s="277">
        <v>318</v>
      </c>
      <c r="B358" s="296"/>
      <c r="C358" s="279" t="s">
        <v>581</v>
      </c>
      <c r="D358" s="284">
        <v>50</v>
      </c>
      <c r="E358" s="285">
        <v>50</v>
      </c>
      <c r="F358" s="297"/>
      <c r="G358" s="286">
        <v>1.0364</v>
      </c>
      <c r="H358" s="287">
        <f t="shared" si="51"/>
        <v>52</v>
      </c>
      <c r="I358" s="287">
        <f t="shared" si="47"/>
        <v>2</v>
      </c>
      <c r="J358" s="288">
        <f t="shared" si="45"/>
        <v>55</v>
      </c>
      <c r="K358" s="287">
        <f t="shared" si="48"/>
        <v>0.55000000000000004</v>
      </c>
      <c r="L358" s="287">
        <f t="shared" si="49"/>
        <v>0.6</v>
      </c>
      <c r="M358" s="287">
        <f t="shared" si="50"/>
        <v>60</v>
      </c>
      <c r="N358" s="280">
        <v>60</v>
      </c>
      <c r="O358" s="289">
        <f t="shared" si="46"/>
        <v>1.1538461538461537</v>
      </c>
    </row>
    <row r="359" spans="1:15" s="232" customFormat="1" ht="16.95" customHeight="1">
      <c r="A359" s="277">
        <v>319</v>
      </c>
      <c r="B359" s="296"/>
      <c r="C359" s="279" t="s">
        <v>582</v>
      </c>
      <c r="D359" s="284">
        <v>100</v>
      </c>
      <c r="E359" s="285">
        <v>100</v>
      </c>
      <c r="F359" s="297"/>
      <c r="G359" s="286">
        <v>1.0364</v>
      </c>
      <c r="H359" s="287">
        <f t="shared" si="51"/>
        <v>104</v>
      </c>
      <c r="I359" s="287">
        <f t="shared" si="47"/>
        <v>4</v>
      </c>
      <c r="J359" s="288">
        <f t="shared" si="45"/>
        <v>109</v>
      </c>
      <c r="K359" s="287">
        <f t="shared" si="48"/>
        <v>1.0900000000000001</v>
      </c>
      <c r="L359" s="287">
        <f t="shared" si="49"/>
        <v>1.1000000000000001</v>
      </c>
      <c r="M359" s="287">
        <f t="shared" si="50"/>
        <v>110.00000000000001</v>
      </c>
      <c r="N359" s="280">
        <v>110.00000000000001</v>
      </c>
      <c r="O359" s="289">
        <f t="shared" si="46"/>
        <v>1.0576923076923079</v>
      </c>
    </row>
    <row r="360" spans="1:15" s="232" customFormat="1" ht="16.95" customHeight="1">
      <c r="A360" s="277">
        <v>320</v>
      </c>
      <c r="B360" s="296"/>
      <c r="C360" s="279" t="s">
        <v>583</v>
      </c>
      <c r="D360" s="284">
        <v>108</v>
      </c>
      <c r="E360" s="285">
        <v>108</v>
      </c>
      <c r="F360" s="297"/>
      <c r="G360" s="286">
        <v>1.0364</v>
      </c>
      <c r="H360" s="287">
        <f t="shared" si="51"/>
        <v>112</v>
      </c>
      <c r="I360" s="287">
        <f t="shared" si="47"/>
        <v>4</v>
      </c>
      <c r="J360" s="288">
        <f t="shared" si="45"/>
        <v>118</v>
      </c>
      <c r="K360" s="287">
        <f t="shared" si="48"/>
        <v>1.18</v>
      </c>
      <c r="L360" s="287">
        <f t="shared" si="49"/>
        <v>1.2</v>
      </c>
      <c r="M360" s="287">
        <f t="shared" si="50"/>
        <v>120</v>
      </c>
      <c r="N360" s="280">
        <v>120</v>
      </c>
      <c r="O360" s="289">
        <f t="shared" si="46"/>
        <v>1.0714285714285714</v>
      </c>
    </row>
    <row r="361" spans="1:15" s="232" customFormat="1" ht="16.95" customHeight="1">
      <c r="A361" s="277">
        <v>321</v>
      </c>
      <c r="B361" s="296"/>
      <c r="C361" s="279" t="s">
        <v>584</v>
      </c>
      <c r="D361" s="284">
        <v>112</v>
      </c>
      <c r="E361" s="285">
        <v>112</v>
      </c>
      <c r="F361" s="297"/>
      <c r="G361" s="286">
        <v>1.0364</v>
      </c>
      <c r="H361" s="287">
        <f t="shared" si="51"/>
        <v>116</v>
      </c>
      <c r="I361" s="287">
        <f t="shared" si="47"/>
        <v>4</v>
      </c>
      <c r="J361" s="288">
        <f t="shared" si="45"/>
        <v>122</v>
      </c>
      <c r="K361" s="287">
        <f t="shared" si="48"/>
        <v>1.22</v>
      </c>
      <c r="L361" s="287">
        <f t="shared" si="49"/>
        <v>1.2</v>
      </c>
      <c r="M361" s="287">
        <f t="shared" si="50"/>
        <v>120</v>
      </c>
      <c r="N361" s="280">
        <v>120</v>
      </c>
      <c r="O361" s="289">
        <f t="shared" si="46"/>
        <v>1.0344827586206897</v>
      </c>
    </row>
    <row r="362" spans="1:15" s="232" customFormat="1" ht="16.95" customHeight="1">
      <c r="A362" s="277">
        <v>322</v>
      </c>
      <c r="B362" s="296"/>
      <c r="C362" s="279" t="s">
        <v>585</v>
      </c>
      <c r="D362" s="284">
        <v>89</v>
      </c>
      <c r="E362" s="285">
        <v>89</v>
      </c>
      <c r="F362" s="297"/>
      <c r="G362" s="286">
        <v>1.0364</v>
      </c>
      <c r="H362" s="287">
        <f t="shared" si="51"/>
        <v>92</v>
      </c>
      <c r="I362" s="287">
        <f t="shared" si="47"/>
        <v>3</v>
      </c>
      <c r="J362" s="288">
        <f t="shared" si="45"/>
        <v>97</v>
      </c>
      <c r="K362" s="287">
        <f t="shared" si="48"/>
        <v>0.97</v>
      </c>
      <c r="L362" s="287">
        <f t="shared" si="49"/>
        <v>1</v>
      </c>
      <c r="M362" s="287">
        <f t="shared" si="50"/>
        <v>100</v>
      </c>
      <c r="N362" s="280">
        <v>100</v>
      </c>
      <c r="O362" s="289">
        <f t="shared" si="46"/>
        <v>1.0869565217391304</v>
      </c>
    </row>
    <row r="363" spans="1:15" s="232" customFormat="1" ht="16.95" customHeight="1">
      <c r="A363" s="277">
        <v>323</v>
      </c>
      <c r="B363" s="296"/>
      <c r="C363" s="283" t="s">
        <v>602</v>
      </c>
      <c r="D363" s="284">
        <v>2574</v>
      </c>
      <c r="E363" s="285">
        <v>2574</v>
      </c>
      <c r="F363" s="297"/>
      <c r="G363" s="286">
        <v>1.0364</v>
      </c>
      <c r="H363" s="287">
        <f t="shared" si="51"/>
        <v>2668</v>
      </c>
      <c r="I363" s="287">
        <f t="shared" si="47"/>
        <v>94</v>
      </c>
      <c r="J363" s="288">
        <f t="shared" si="45"/>
        <v>2801</v>
      </c>
      <c r="K363" s="287">
        <f t="shared" si="48"/>
        <v>28.01</v>
      </c>
      <c r="L363" s="287">
        <f t="shared" si="49"/>
        <v>28</v>
      </c>
      <c r="M363" s="287">
        <f t="shared" si="50"/>
        <v>2800</v>
      </c>
      <c r="N363" s="280">
        <v>2800</v>
      </c>
      <c r="O363" s="289">
        <f t="shared" si="46"/>
        <v>1.0494752623688155</v>
      </c>
    </row>
    <row r="364" spans="1:15" s="232" customFormat="1" ht="16.95" customHeight="1">
      <c r="A364" s="277">
        <v>324</v>
      </c>
      <c r="B364" s="296"/>
      <c r="C364" s="279" t="s">
        <v>586</v>
      </c>
      <c r="D364" s="284">
        <v>258</v>
      </c>
      <c r="E364" s="285">
        <v>258</v>
      </c>
      <c r="F364" s="297"/>
      <c r="G364" s="286">
        <v>1.0364</v>
      </c>
      <c r="H364" s="287">
        <f t="shared" si="51"/>
        <v>267</v>
      </c>
      <c r="I364" s="287">
        <f t="shared" si="47"/>
        <v>9</v>
      </c>
      <c r="J364" s="288">
        <f t="shared" si="45"/>
        <v>280</v>
      </c>
      <c r="K364" s="287">
        <f t="shared" si="48"/>
        <v>2.8</v>
      </c>
      <c r="L364" s="287">
        <f t="shared" si="49"/>
        <v>2.8</v>
      </c>
      <c r="M364" s="287">
        <f t="shared" si="50"/>
        <v>280</v>
      </c>
      <c r="N364" s="280">
        <v>280</v>
      </c>
      <c r="O364" s="289">
        <f t="shared" si="46"/>
        <v>1.0486891385767789</v>
      </c>
    </row>
    <row r="365" spans="1:15" s="232" customFormat="1" ht="16.95" customHeight="1">
      <c r="A365" s="277">
        <v>325</v>
      </c>
      <c r="B365" s="296"/>
      <c r="C365" s="279" t="s">
        <v>603</v>
      </c>
      <c r="D365" s="284">
        <v>393</v>
      </c>
      <c r="E365" s="285">
        <v>393</v>
      </c>
      <c r="F365" s="297"/>
      <c r="G365" s="286">
        <v>1.0364</v>
      </c>
      <c r="H365" s="287">
        <v>420</v>
      </c>
      <c r="I365" s="287">
        <f t="shared" si="47"/>
        <v>27</v>
      </c>
      <c r="J365" s="288">
        <f t="shared" si="45"/>
        <v>441</v>
      </c>
      <c r="K365" s="287">
        <f t="shared" si="48"/>
        <v>4.41</v>
      </c>
      <c r="L365" s="287">
        <f t="shared" si="49"/>
        <v>4.4000000000000004</v>
      </c>
      <c r="M365" s="287">
        <f t="shared" si="50"/>
        <v>440.00000000000006</v>
      </c>
      <c r="N365" s="280">
        <v>440.00000000000006</v>
      </c>
      <c r="O365" s="289">
        <f t="shared" si="46"/>
        <v>1.0476190476190477</v>
      </c>
    </row>
    <row r="366" spans="1:15" s="232" customFormat="1" ht="16.95" customHeight="1">
      <c r="A366" s="277">
        <v>326</v>
      </c>
      <c r="B366" s="296"/>
      <c r="C366" s="279" t="s">
        <v>595</v>
      </c>
      <c r="D366" s="284">
        <v>100</v>
      </c>
      <c r="E366" s="285">
        <v>100</v>
      </c>
      <c r="F366" s="297"/>
      <c r="G366" s="286">
        <v>1.0364</v>
      </c>
      <c r="H366" s="287">
        <f t="shared" si="51"/>
        <v>104</v>
      </c>
      <c r="I366" s="287">
        <f t="shared" si="47"/>
        <v>4</v>
      </c>
      <c r="J366" s="288">
        <f t="shared" si="45"/>
        <v>109</v>
      </c>
      <c r="K366" s="287">
        <f t="shared" si="48"/>
        <v>1.0900000000000001</v>
      </c>
      <c r="L366" s="287">
        <f t="shared" si="49"/>
        <v>1.1000000000000001</v>
      </c>
      <c r="M366" s="287">
        <f t="shared" si="50"/>
        <v>110.00000000000001</v>
      </c>
      <c r="N366" s="280">
        <v>110.00000000000001</v>
      </c>
      <c r="O366" s="289">
        <f t="shared" si="46"/>
        <v>1.0576923076923079</v>
      </c>
    </row>
    <row r="367" spans="1:15" s="232" customFormat="1" ht="16.95" customHeight="1">
      <c r="A367" s="277">
        <v>327</v>
      </c>
      <c r="B367" s="296"/>
      <c r="C367" s="279" t="s">
        <v>588</v>
      </c>
      <c r="D367" s="284">
        <v>61</v>
      </c>
      <c r="E367" s="285">
        <v>61</v>
      </c>
      <c r="F367" s="297"/>
      <c r="G367" s="286">
        <v>1.0364</v>
      </c>
      <c r="H367" s="287">
        <f t="shared" si="51"/>
        <v>63</v>
      </c>
      <c r="I367" s="287">
        <f t="shared" si="47"/>
        <v>2</v>
      </c>
      <c r="J367" s="288">
        <f t="shared" si="45"/>
        <v>66</v>
      </c>
      <c r="K367" s="287">
        <f t="shared" si="48"/>
        <v>0.66</v>
      </c>
      <c r="L367" s="287">
        <f t="shared" si="49"/>
        <v>0.7</v>
      </c>
      <c r="M367" s="287">
        <f t="shared" si="50"/>
        <v>70</v>
      </c>
      <c r="N367" s="280">
        <v>70</v>
      </c>
      <c r="O367" s="289">
        <f t="shared" si="46"/>
        <v>1.1111111111111112</v>
      </c>
    </row>
    <row r="368" spans="1:15" s="232" customFormat="1" ht="16.95" customHeight="1">
      <c r="A368" s="277">
        <v>328</v>
      </c>
      <c r="B368" s="296"/>
      <c r="C368" s="279" t="s">
        <v>589</v>
      </c>
      <c r="D368" s="284">
        <v>9</v>
      </c>
      <c r="E368" s="285">
        <v>9</v>
      </c>
      <c r="F368" s="297"/>
      <c r="G368" s="286">
        <v>1.0364</v>
      </c>
      <c r="H368" s="287">
        <f t="shared" si="51"/>
        <v>9</v>
      </c>
      <c r="I368" s="287">
        <f t="shared" si="47"/>
        <v>0</v>
      </c>
      <c r="J368" s="288">
        <f t="shared" si="45"/>
        <v>9</v>
      </c>
      <c r="K368" s="287">
        <f t="shared" si="48"/>
        <v>0.09</v>
      </c>
      <c r="L368" s="287">
        <f t="shared" si="49"/>
        <v>0.1</v>
      </c>
      <c r="M368" s="287">
        <f t="shared" si="50"/>
        <v>10</v>
      </c>
      <c r="N368" s="280">
        <v>10</v>
      </c>
      <c r="O368" s="289">
        <f t="shared" si="46"/>
        <v>1.1111111111111112</v>
      </c>
    </row>
    <row r="369" spans="1:15" s="232" customFormat="1" ht="16.95" customHeight="1">
      <c r="A369" s="277">
        <v>329</v>
      </c>
      <c r="B369" s="296"/>
      <c r="C369" s="279" t="s">
        <v>592</v>
      </c>
      <c r="D369" s="284">
        <v>2353</v>
      </c>
      <c r="E369" s="285">
        <v>2353</v>
      </c>
      <c r="F369" s="297"/>
      <c r="G369" s="286">
        <v>1.0364</v>
      </c>
      <c r="H369" s="287">
        <f t="shared" si="51"/>
        <v>2439</v>
      </c>
      <c r="I369" s="287">
        <f t="shared" si="47"/>
        <v>86</v>
      </c>
      <c r="J369" s="288">
        <f t="shared" si="45"/>
        <v>2561</v>
      </c>
      <c r="K369" s="287">
        <f t="shared" si="48"/>
        <v>25.61</v>
      </c>
      <c r="L369" s="287">
        <f t="shared" si="49"/>
        <v>25.6</v>
      </c>
      <c r="M369" s="287">
        <f t="shared" si="50"/>
        <v>2560</v>
      </c>
      <c r="N369" s="280">
        <v>2560</v>
      </c>
      <c r="O369" s="289">
        <f t="shared" si="46"/>
        <v>1.049610496104961</v>
      </c>
    </row>
    <row r="370" spans="1:15" s="232" customFormat="1" ht="16.95" customHeight="1">
      <c r="A370" s="277">
        <v>330</v>
      </c>
      <c r="B370" s="296"/>
      <c r="C370" s="279" t="s">
        <v>591</v>
      </c>
      <c r="D370" s="284">
        <v>63</v>
      </c>
      <c r="E370" s="285">
        <v>63</v>
      </c>
      <c r="F370" s="297"/>
      <c r="G370" s="286">
        <v>1.0364</v>
      </c>
      <c r="H370" s="287">
        <f t="shared" si="51"/>
        <v>65</v>
      </c>
      <c r="I370" s="287">
        <f t="shared" si="47"/>
        <v>2</v>
      </c>
      <c r="J370" s="288">
        <f t="shared" si="45"/>
        <v>68</v>
      </c>
      <c r="K370" s="287">
        <f t="shared" si="48"/>
        <v>0.68</v>
      </c>
      <c r="L370" s="287">
        <f t="shared" si="49"/>
        <v>0.7</v>
      </c>
      <c r="M370" s="287">
        <f t="shared" si="50"/>
        <v>70</v>
      </c>
      <c r="N370" s="280">
        <v>70</v>
      </c>
      <c r="O370" s="289">
        <f t="shared" si="46"/>
        <v>1.0769230769230769</v>
      </c>
    </row>
    <row r="371" spans="1:15" s="232" customFormat="1" ht="16.95" customHeight="1">
      <c r="A371" s="277">
        <v>331</v>
      </c>
      <c r="B371" s="296"/>
      <c r="C371" s="279" t="s">
        <v>590</v>
      </c>
      <c r="D371" s="284">
        <v>290</v>
      </c>
      <c r="E371" s="285">
        <v>290</v>
      </c>
      <c r="F371" s="297"/>
      <c r="G371" s="286">
        <v>1.0364</v>
      </c>
      <c r="H371" s="287">
        <f t="shared" si="51"/>
        <v>301</v>
      </c>
      <c r="I371" s="287">
        <f t="shared" si="47"/>
        <v>11</v>
      </c>
      <c r="J371" s="288">
        <f t="shared" si="45"/>
        <v>316</v>
      </c>
      <c r="K371" s="287">
        <f t="shared" si="48"/>
        <v>3.16</v>
      </c>
      <c r="L371" s="287">
        <f t="shared" si="49"/>
        <v>3.2</v>
      </c>
      <c r="M371" s="287">
        <f t="shared" si="50"/>
        <v>320</v>
      </c>
      <c r="N371" s="280">
        <v>320</v>
      </c>
      <c r="O371" s="289">
        <f t="shared" si="46"/>
        <v>1.0631229235880399</v>
      </c>
    </row>
    <row r="372" spans="1:15" s="232" customFormat="1" ht="16.95" customHeight="1">
      <c r="A372" s="277">
        <v>332</v>
      </c>
      <c r="B372" s="296"/>
      <c r="C372" s="279" t="s">
        <v>990</v>
      </c>
      <c r="D372" s="284">
        <v>46</v>
      </c>
      <c r="E372" s="285">
        <v>46</v>
      </c>
      <c r="F372" s="297"/>
      <c r="G372" s="286">
        <v>1.0364</v>
      </c>
      <c r="H372" s="287">
        <f t="shared" si="51"/>
        <v>48</v>
      </c>
      <c r="I372" s="287">
        <f t="shared" si="47"/>
        <v>2</v>
      </c>
      <c r="J372" s="288">
        <f t="shared" si="45"/>
        <v>50</v>
      </c>
      <c r="K372" s="287">
        <f t="shared" si="48"/>
        <v>0.5</v>
      </c>
      <c r="L372" s="287">
        <f t="shared" si="49"/>
        <v>0.5</v>
      </c>
      <c r="M372" s="287">
        <f t="shared" si="50"/>
        <v>50</v>
      </c>
      <c r="N372" s="280">
        <v>50</v>
      </c>
      <c r="O372" s="289">
        <f t="shared" si="46"/>
        <v>1.0416666666666667</v>
      </c>
    </row>
    <row r="373" spans="1:15" s="232" customFormat="1" ht="16.95" customHeight="1">
      <c r="A373" s="277">
        <v>333</v>
      </c>
      <c r="B373" s="296"/>
      <c r="C373" s="279" t="s">
        <v>634</v>
      </c>
      <c r="D373" s="284">
        <v>324</v>
      </c>
      <c r="E373" s="285">
        <v>324</v>
      </c>
      <c r="F373" s="297"/>
      <c r="G373" s="286">
        <v>1.0364</v>
      </c>
      <c r="H373" s="287">
        <f t="shared" si="51"/>
        <v>336</v>
      </c>
      <c r="I373" s="287">
        <f t="shared" si="47"/>
        <v>12</v>
      </c>
      <c r="J373" s="288">
        <f t="shared" si="45"/>
        <v>353</v>
      </c>
      <c r="K373" s="287">
        <f t="shared" si="48"/>
        <v>3.53</v>
      </c>
      <c r="L373" s="287">
        <f t="shared" si="49"/>
        <v>3.5</v>
      </c>
      <c r="M373" s="287">
        <f t="shared" si="50"/>
        <v>350</v>
      </c>
      <c r="N373" s="280">
        <v>350</v>
      </c>
      <c r="O373" s="289">
        <f t="shared" si="46"/>
        <v>1.0416666666666667</v>
      </c>
    </row>
    <row r="374" spans="1:15" s="232" customFormat="1" ht="16.95" customHeight="1">
      <c r="A374" s="277">
        <v>334</v>
      </c>
      <c r="B374" s="296"/>
      <c r="C374" s="279" t="s">
        <v>643</v>
      </c>
      <c r="D374" s="284">
        <v>114</v>
      </c>
      <c r="E374" s="285">
        <v>114</v>
      </c>
      <c r="F374" s="297"/>
      <c r="G374" s="286">
        <v>1.0364</v>
      </c>
      <c r="H374" s="287">
        <f t="shared" si="51"/>
        <v>118</v>
      </c>
      <c r="I374" s="287">
        <f t="shared" si="47"/>
        <v>4</v>
      </c>
      <c r="J374" s="288">
        <f t="shared" si="45"/>
        <v>124</v>
      </c>
      <c r="K374" s="287">
        <f t="shared" si="48"/>
        <v>1.24</v>
      </c>
      <c r="L374" s="287">
        <f t="shared" si="49"/>
        <v>1.2</v>
      </c>
      <c r="M374" s="287">
        <f t="shared" si="50"/>
        <v>120</v>
      </c>
      <c r="N374" s="280">
        <v>120</v>
      </c>
      <c r="O374" s="289">
        <f t="shared" si="46"/>
        <v>1.0169491525423728</v>
      </c>
    </row>
    <row r="375" spans="1:15" s="232" customFormat="1" ht="16.95" customHeight="1">
      <c r="A375" s="277">
        <v>335</v>
      </c>
      <c r="B375" s="296"/>
      <c r="C375" s="283" t="s">
        <v>594</v>
      </c>
      <c r="D375" s="280">
        <v>620</v>
      </c>
      <c r="E375" s="285">
        <v>515</v>
      </c>
      <c r="F375" s="297"/>
      <c r="G375" s="286">
        <v>1.0364</v>
      </c>
      <c r="H375" s="287">
        <f t="shared" si="51"/>
        <v>534</v>
      </c>
      <c r="I375" s="287">
        <f t="shared" si="47"/>
        <v>19</v>
      </c>
      <c r="J375" s="288">
        <f t="shared" si="45"/>
        <v>561</v>
      </c>
      <c r="K375" s="287">
        <f t="shared" si="48"/>
        <v>5.61</v>
      </c>
      <c r="L375" s="287">
        <f t="shared" si="49"/>
        <v>5.6</v>
      </c>
      <c r="M375" s="287">
        <f t="shared" si="50"/>
        <v>560</v>
      </c>
      <c r="N375" s="280">
        <v>560</v>
      </c>
      <c r="O375" s="289">
        <f t="shared" si="46"/>
        <v>1.0486891385767789</v>
      </c>
    </row>
    <row r="376" spans="1:15" s="232" customFormat="1" ht="16.95" hidden="1" customHeight="1">
      <c r="A376" s="277">
        <v>336</v>
      </c>
      <c r="B376" s="296"/>
      <c r="C376" s="283"/>
      <c r="D376" s="280"/>
      <c r="E376" s="285"/>
      <c r="F376" s="297"/>
      <c r="G376" s="286"/>
      <c r="H376" s="287"/>
      <c r="I376" s="287"/>
      <c r="J376" s="288"/>
      <c r="K376" s="287"/>
      <c r="L376" s="287"/>
      <c r="M376" s="287"/>
      <c r="N376" s="280"/>
      <c r="O376" s="289"/>
    </row>
    <row r="377" spans="1:15" s="232" customFormat="1" ht="16.95" hidden="1" customHeight="1">
      <c r="A377" s="277">
        <v>337</v>
      </c>
      <c r="B377" s="296"/>
      <c r="C377" s="283" t="s">
        <v>659</v>
      </c>
      <c r="D377" s="280">
        <v>0</v>
      </c>
      <c r="E377" s="285">
        <v>120</v>
      </c>
      <c r="F377" s="297"/>
      <c r="G377" s="286">
        <v>1.0364</v>
      </c>
      <c r="H377" s="287">
        <f t="shared" si="51"/>
        <v>124</v>
      </c>
      <c r="I377" s="287">
        <f t="shared" si="47"/>
        <v>4</v>
      </c>
      <c r="J377" s="288">
        <v>124</v>
      </c>
      <c r="K377" s="287">
        <f t="shared" si="48"/>
        <v>1.24</v>
      </c>
      <c r="L377" s="287">
        <f t="shared" si="49"/>
        <v>1.2</v>
      </c>
      <c r="M377" s="287">
        <v>124</v>
      </c>
      <c r="N377" s="280">
        <v>124</v>
      </c>
      <c r="O377" s="289">
        <f t="shared" si="46"/>
        <v>1</v>
      </c>
    </row>
    <row r="378" spans="1:15" s="232" customFormat="1" ht="16.95" customHeight="1">
      <c r="A378" s="277" t="s">
        <v>1305</v>
      </c>
      <c r="B378" s="296"/>
      <c r="C378" s="283" t="s">
        <v>1341</v>
      </c>
      <c r="D378" s="280">
        <f>150+'15.08.2023 материалы'!N49</f>
        <v>870</v>
      </c>
      <c r="E378" s="285">
        <v>120</v>
      </c>
      <c r="F378" s="297"/>
      <c r="G378" s="286">
        <v>1.0364</v>
      </c>
      <c r="H378" s="287">
        <v>235</v>
      </c>
      <c r="I378" s="287">
        <f t="shared" si="47"/>
        <v>115</v>
      </c>
      <c r="J378" s="288">
        <f t="shared" si="45"/>
        <v>247</v>
      </c>
      <c r="K378" s="287">
        <f t="shared" si="48"/>
        <v>2.4700000000000002</v>
      </c>
      <c r="L378" s="287">
        <f t="shared" si="49"/>
        <v>2.5</v>
      </c>
      <c r="M378" s="287">
        <f t="shared" si="50"/>
        <v>250</v>
      </c>
      <c r="N378" s="280">
        <v>250</v>
      </c>
      <c r="O378" s="289">
        <f t="shared" si="46"/>
        <v>1.0638297872340425</v>
      </c>
    </row>
    <row r="379" spans="1:15" s="232" customFormat="1" ht="16.95" hidden="1" customHeight="1">
      <c r="A379" s="277" t="s">
        <v>655</v>
      </c>
      <c r="B379" s="296"/>
      <c r="C379" s="279"/>
      <c r="D379" s="280"/>
      <c r="E379" s="285"/>
      <c r="F379" s="297"/>
      <c r="G379" s="286"/>
      <c r="H379" s="287"/>
      <c r="I379" s="287"/>
      <c r="J379" s="288"/>
      <c r="K379" s="287"/>
      <c r="L379" s="287"/>
      <c r="M379" s="287"/>
      <c r="N379" s="280"/>
      <c r="O379" s="289"/>
    </row>
    <row r="380" spans="1:15" s="232" customFormat="1" ht="16.95" customHeight="1">
      <c r="A380" s="277" t="s">
        <v>1306</v>
      </c>
      <c r="B380" s="296"/>
      <c r="C380" s="279" t="s">
        <v>1340</v>
      </c>
      <c r="D380" s="280">
        <f>'15.08.2023 материалы'!N76</f>
        <v>250</v>
      </c>
      <c r="E380" s="285">
        <v>704</v>
      </c>
      <c r="F380" s="297"/>
      <c r="G380" s="286">
        <v>1.0364</v>
      </c>
      <c r="H380" s="287">
        <f t="shared" si="51"/>
        <v>730</v>
      </c>
      <c r="I380" s="287">
        <f t="shared" si="47"/>
        <v>26</v>
      </c>
      <c r="J380" s="288">
        <f t="shared" si="45"/>
        <v>767</v>
      </c>
      <c r="K380" s="287">
        <f t="shared" si="48"/>
        <v>7.67</v>
      </c>
      <c r="L380" s="287">
        <f t="shared" si="49"/>
        <v>7.7</v>
      </c>
      <c r="M380" s="287">
        <f t="shared" si="50"/>
        <v>770</v>
      </c>
      <c r="N380" s="280">
        <v>770</v>
      </c>
      <c r="O380" s="289">
        <f t="shared" si="46"/>
        <v>1.0547945205479452</v>
      </c>
    </row>
    <row r="381" spans="1:15" s="232" customFormat="1" ht="16.95" customHeight="1">
      <c r="A381" s="277">
        <v>338</v>
      </c>
      <c r="B381" s="296"/>
      <c r="C381" s="283" t="s">
        <v>593</v>
      </c>
      <c r="D381" s="280">
        <v>890</v>
      </c>
      <c r="E381" s="285">
        <v>1408</v>
      </c>
      <c r="F381" s="297"/>
      <c r="G381" s="286">
        <v>1.0364</v>
      </c>
      <c r="H381" s="287">
        <f t="shared" si="51"/>
        <v>1459</v>
      </c>
      <c r="I381" s="287">
        <f t="shared" si="47"/>
        <v>51</v>
      </c>
      <c r="J381" s="288">
        <f t="shared" si="45"/>
        <v>1532</v>
      </c>
      <c r="K381" s="287">
        <f t="shared" si="48"/>
        <v>15.32</v>
      </c>
      <c r="L381" s="287">
        <f t="shared" si="49"/>
        <v>15.3</v>
      </c>
      <c r="M381" s="287">
        <f t="shared" si="50"/>
        <v>1530</v>
      </c>
      <c r="N381" s="280">
        <v>1530</v>
      </c>
      <c r="O381" s="289">
        <f t="shared" si="46"/>
        <v>1.0486634681288554</v>
      </c>
    </row>
    <row r="382" spans="1:15" s="232" customFormat="1" ht="16.95" customHeight="1">
      <c r="A382" s="277">
        <v>344</v>
      </c>
      <c r="B382" s="296"/>
      <c r="C382" s="279" t="s">
        <v>697</v>
      </c>
      <c r="D382" s="280">
        <v>900</v>
      </c>
      <c r="E382" s="285">
        <v>2112</v>
      </c>
      <c r="F382" s="297"/>
      <c r="G382" s="286">
        <v>1.0364</v>
      </c>
      <c r="H382" s="287">
        <f t="shared" si="51"/>
        <v>2189</v>
      </c>
      <c r="I382" s="287">
        <f t="shared" si="47"/>
        <v>77</v>
      </c>
      <c r="J382" s="288">
        <f t="shared" si="45"/>
        <v>2298</v>
      </c>
      <c r="K382" s="287">
        <f t="shared" si="48"/>
        <v>22.98</v>
      </c>
      <c r="L382" s="287">
        <f t="shared" si="49"/>
        <v>23</v>
      </c>
      <c r="M382" s="287">
        <f t="shared" si="50"/>
        <v>2300</v>
      </c>
      <c r="N382" s="280">
        <v>2300</v>
      </c>
      <c r="O382" s="289">
        <f t="shared" si="46"/>
        <v>1.0507080858839652</v>
      </c>
    </row>
    <row r="383" spans="1:15" s="232" customFormat="1" ht="16.95" customHeight="1">
      <c r="A383" s="277">
        <v>345</v>
      </c>
      <c r="B383" s="296"/>
      <c r="C383" s="279" t="s">
        <v>698</v>
      </c>
      <c r="D383" s="280">
        <v>1800</v>
      </c>
      <c r="E383" s="285">
        <v>4224</v>
      </c>
      <c r="F383" s="297"/>
      <c r="G383" s="286">
        <v>1.0364</v>
      </c>
      <c r="H383" s="287">
        <f t="shared" si="51"/>
        <v>4378</v>
      </c>
      <c r="I383" s="287">
        <f t="shared" si="47"/>
        <v>154</v>
      </c>
      <c r="J383" s="288">
        <f t="shared" si="45"/>
        <v>4597</v>
      </c>
      <c r="K383" s="287">
        <f t="shared" si="48"/>
        <v>45.97</v>
      </c>
      <c r="L383" s="287">
        <f t="shared" si="49"/>
        <v>46</v>
      </c>
      <c r="M383" s="287">
        <f t="shared" si="50"/>
        <v>4600</v>
      </c>
      <c r="N383" s="280">
        <v>4600</v>
      </c>
      <c r="O383" s="289">
        <f t="shared" si="46"/>
        <v>1.0507080858839652</v>
      </c>
    </row>
    <row r="384" spans="1:15" s="232" customFormat="1" ht="16.95" customHeight="1">
      <c r="A384" s="277">
        <v>346</v>
      </c>
      <c r="B384" s="296"/>
      <c r="C384" s="279" t="s">
        <v>699</v>
      </c>
      <c r="D384" s="280">
        <v>2700</v>
      </c>
      <c r="E384" s="285">
        <v>3520</v>
      </c>
      <c r="F384" s="297"/>
      <c r="G384" s="286">
        <v>1.0364</v>
      </c>
      <c r="H384" s="287">
        <f t="shared" si="51"/>
        <v>3648</v>
      </c>
      <c r="I384" s="287">
        <f t="shared" si="47"/>
        <v>128</v>
      </c>
      <c r="J384" s="288">
        <f t="shared" si="45"/>
        <v>3830</v>
      </c>
      <c r="K384" s="287">
        <f t="shared" si="48"/>
        <v>38.299999999999997</v>
      </c>
      <c r="L384" s="287">
        <f t="shared" si="49"/>
        <v>38.299999999999997</v>
      </c>
      <c r="M384" s="287">
        <f t="shared" si="50"/>
        <v>3829.9999999999995</v>
      </c>
      <c r="N384" s="280">
        <v>3829.9999999999995</v>
      </c>
      <c r="O384" s="289">
        <f t="shared" si="46"/>
        <v>1.0498903508771928</v>
      </c>
    </row>
    <row r="385" spans="1:15" s="232" customFormat="1" ht="16.95" customHeight="1">
      <c r="A385" s="277">
        <v>347</v>
      </c>
      <c r="B385" s="296"/>
      <c r="C385" s="279" t="s">
        <v>700</v>
      </c>
      <c r="D385" s="280">
        <v>5400</v>
      </c>
      <c r="E385" s="285">
        <v>1056</v>
      </c>
      <c r="F385" s="297"/>
      <c r="G385" s="286">
        <v>1.0364</v>
      </c>
      <c r="H385" s="287">
        <f t="shared" si="51"/>
        <v>1094</v>
      </c>
      <c r="I385" s="287">
        <f t="shared" si="47"/>
        <v>38</v>
      </c>
      <c r="J385" s="288">
        <f t="shared" si="45"/>
        <v>1149</v>
      </c>
      <c r="K385" s="287">
        <f t="shared" si="48"/>
        <v>11.49</v>
      </c>
      <c r="L385" s="287">
        <f t="shared" si="49"/>
        <v>11.5</v>
      </c>
      <c r="M385" s="287">
        <f t="shared" si="50"/>
        <v>1150</v>
      </c>
      <c r="N385" s="280">
        <v>1150</v>
      </c>
      <c r="O385" s="289">
        <f t="shared" si="46"/>
        <v>1.0511882998171846</v>
      </c>
    </row>
    <row r="386" spans="1:15" s="232" customFormat="1" ht="16.95" customHeight="1">
      <c r="A386" s="277">
        <v>348</v>
      </c>
      <c r="B386" s="296"/>
      <c r="C386" s="279" t="s">
        <v>701</v>
      </c>
      <c r="D386" s="280">
        <v>4500</v>
      </c>
      <c r="E386" s="285">
        <v>2112</v>
      </c>
      <c r="F386" s="297"/>
      <c r="G386" s="286">
        <v>1.0364</v>
      </c>
      <c r="H386" s="287">
        <f t="shared" si="51"/>
        <v>2189</v>
      </c>
      <c r="I386" s="287">
        <f t="shared" si="47"/>
        <v>77</v>
      </c>
      <c r="J386" s="288">
        <f t="shared" si="45"/>
        <v>2298</v>
      </c>
      <c r="K386" s="287">
        <f t="shared" si="48"/>
        <v>22.98</v>
      </c>
      <c r="L386" s="287">
        <f t="shared" si="49"/>
        <v>23</v>
      </c>
      <c r="M386" s="287">
        <f t="shared" si="50"/>
        <v>2300</v>
      </c>
      <c r="N386" s="280">
        <v>2300</v>
      </c>
      <c r="O386" s="289">
        <f t="shared" si="46"/>
        <v>1.0507080858839652</v>
      </c>
    </row>
    <row r="387" spans="1:15" s="232" customFormat="1" ht="16.95" customHeight="1">
      <c r="A387" s="277">
        <v>349</v>
      </c>
      <c r="B387" s="296"/>
      <c r="C387" s="279" t="s">
        <v>738</v>
      </c>
      <c r="D387" s="280">
        <v>1350</v>
      </c>
      <c r="E387" s="285">
        <v>3520</v>
      </c>
      <c r="F387" s="297"/>
      <c r="G387" s="286">
        <v>1.0364</v>
      </c>
      <c r="H387" s="287">
        <f t="shared" si="51"/>
        <v>3648</v>
      </c>
      <c r="I387" s="287">
        <f t="shared" si="47"/>
        <v>128</v>
      </c>
      <c r="J387" s="288">
        <f t="shared" si="45"/>
        <v>3830</v>
      </c>
      <c r="K387" s="287">
        <f t="shared" si="48"/>
        <v>38.299999999999997</v>
      </c>
      <c r="L387" s="287">
        <f t="shared" si="49"/>
        <v>38.299999999999997</v>
      </c>
      <c r="M387" s="287">
        <f t="shared" si="50"/>
        <v>3829.9999999999995</v>
      </c>
      <c r="N387" s="280">
        <v>3829.9999999999995</v>
      </c>
      <c r="O387" s="289">
        <f t="shared" si="46"/>
        <v>1.0498903508771928</v>
      </c>
    </row>
    <row r="388" spans="1:15" s="232" customFormat="1" ht="16.95" customHeight="1">
      <c r="A388" s="277">
        <v>350</v>
      </c>
      <c r="B388" s="296"/>
      <c r="C388" s="279" t="s">
        <v>739</v>
      </c>
      <c r="D388" s="280">
        <v>2700</v>
      </c>
      <c r="E388" s="285">
        <v>6336</v>
      </c>
      <c r="F388" s="297"/>
      <c r="G388" s="286">
        <v>1.0364</v>
      </c>
      <c r="H388" s="287">
        <f t="shared" si="51"/>
        <v>6567</v>
      </c>
      <c r="I388" s="287">
        <f t="shared" si="47"/>
        <v>231</v>
      </c>
      <c r="J388" s="288">
        <f t="shared" si="45"/>
        <v>6895</v>
      </c>
      <c r="K388" s="287">
        <f t="shared" si="48"/>
        <v>68.95</v>
      </c>
      <c r="L388" s="287">
        <f t="shared" si="49"/>
        <v>69</v>
      </c>
      <c r="M388" s="287">
        <f t="shared" si="50"/>
        <v>6900</v>
      </c>
      <c r="N388" s="280">
        <v>6900</v>
      </c>
      <c r="O388" s="289">
        <f t="shared" si="46"/>
        <v>1.0507080858839652</v>
      </c>
    </row>
    <row r="389" spans="1:15" s="232" customFormat="1" ht="16.95" customHeight="1">
      <c r="A389" s="277">
        <v>351</v>
      </c>
      <c r="B389" s="296"/>
      <c r="C389" s="279" t="s">
        <v>740</v>
      </c>
      <c r="D389" s="280">
        <v>4500</v>
      </c>
      <c r="E389" s="285">
        <v>5280</v>
      </c>
      <c r="F389" s="297"/>
      <c r="G389" s="286">
        <v>1.0364</v>
      </c>
      <c r="H389" s="287">
        <f t="shared" si="51"/>
        <v>5472</v>
      </c>
      <c r="I389" s="287">
        <f t="shared" si="47"/>
        <v>192</v>
      </c>
      <c r="J389" s="288">
        <f t="shared" si="45"/>
        <v>5746</v>
      </c>
      <c r="K389" s="287">
        <f t="shared" si="48"/>
        <v>57.46</v>
      </c>
      <c r="L389" s="287">
        <f t="shared" si="49"/>
        <v>57.5</v>
      </c>
      <c r="M389" s="287">
        <f t="shared" si="50"/>
        <v>5750</v>
      </c>
      <c r="N389" s="280">
        <v>5750</v>
      </c>
      <c r="O389" s="289">
        <f t="shared" si="46"/>
        <v>1.0508040935672514</v>
      </c>
    </row>
    <row r="390" spans="1:15" s="232" customFormat="1" ht="16.95" customHeight="1">
      <c r="A390" s="277">
        <v>352</v>
      </c>
      <c r="B390" s="296"/>
      <c r="C390" s="279" t="s">
        <v>741</v>
      </c>
      <c r="D390" s="280">
        <v>8100</v>
      </c>
      <c r="E390" s="285">
        <v>530</v>
      </c>
      <c r="F390" s="297"/>
      <c r="G390" s="286">
        <v>1.0364</v>
      </c>
      <c r="H390" s="287">
        <f t="shared" si="51"/>
        <v>549</v>
      </c>
      <c r="I390" s="287">
        <f t="shared" si="47"/>
        <v>19</v>
      </c>
      <c r="J390" s="288">
        <f t="shared" si="45"/>
        <v>576</v>
      </c>
      <c r="K390" s="287">
        <f t="shared" si="48"/>
        <v>5.76</v>
      </c>
      <c r="L390" s="287">
        <f t="shared" si="49"/>
        <v>5.8</v>
      </c>
      <c r="M390" s="287">
        <f t="shared" si="50"/>
        <v>580</v>
      </c>
      <c r="N390" s="280">
        <v>580</v>
      </c>
      <c r="O390" s="289">
        <f t="shared" si="46"/>
        <v>1.0564663023679417</v>
      </c>
    </row>
    <row r="391" spans="1:15" s="232" customFormat="1" ht="16.95" customHeight="1">
      <c r="A391" s="277">
        <v>353</v>
      </c>
      <c r="B391" s="296"/>
      <c r="C391" s="279" t="s">
        <v>742</v>
      </c>
      <c r="D391" s="280">
        <v>6750</v>
      </c>
      <c r="E391" s="285">
        <v>1060</v>
      </c>
      <c r="F391" s="297"/>
      <c r="G391" s="286">
        <v>1.0364</v>
      </c>
      <c r="H391" s="287">
        <f t="shared" si="51"/>
        <v>1099</v>
      </c>
      <c r="I391" s="287">
        <f t="shared" si="47"/>
        <v>39</v>
      </c>
      <c r="J391" s="288">
        <f t="shared" si="45"/>
        <v>1154</v>
      </c>
      <c r="K391" s="287">
        <f t="shared" si="48"/>
        <v>11.54</v>
      </c>
      <c r="L391" s="287">
        <f t="shared" si="49"/>
        <v>11.5</v>
      </c>
      <c r="M391" s="287">
        <f t="shared" si="50"/>
        <v>1150</v>
      </c>
      <c r="N391" s="280">
        <v>1150</v>
      </c>
      <c r="O391" s="289">
        <f t="shared" si="46"/>
        <v>1.0464058234758871</v>
      </c>
    </row>
    <row r="392" spans="1:15" s="232" customFormat="1" ht="16.95" customHeight="1">
      <c r="A392" s="277">
        <v>359</v>
      </c>
      <c r="B392" s="296"/>
      <c r="C392" s="279" t="s">
        <v>702</v>
      </c>
      <c r="D392" s="280">
        <v>620</v>
      </c>
      <c r="E392" s="285">
        <v>1590</v>
      </c>
      <c r="F392" s="297"/>
      <c r="G392" s="286">
        <v>1.0364</v>
      </c>
      <c r="H392" s="287">
        <f t="shared" si="51"/>
        <v>1648</v>
      </c>
      <c r="I392" s="287">
        <f t="shared" si="47"/>
        <v>58</v>
      </c>
      <c r="J392" s="288">
        <f t="shared" si="45"/>
        <v>1730</v>
      </c>
      <c r="K392" s="287">
        <f t="shared" si="48"/>
        <v>17.3</v>
      </c>
      <c r="L392" s="287">
        <f t="shared" si="49"/>
        <v>17.3</v>
      </c>
      <c r="M392" s="287">
        <f t="shared" si="50"/>
        <v>1730</v>
      </c>
      <c r="N392" s="280">
        <v>1730</v>
      </c>
      <c r="O392" s="289">
        <f t="shared" si="46"/>
        <v>1.049757281553398</v>
      </c>
    </row>
    <row r="393" spans="1:15" s="232" customFormat="1" ht="16.95" customHeight="1">
      <c r="A393" s="277">
        <v>360</v>
      </c>
      <c r="B393" s="296"/>
      <c r="C393" s="279" t="s">
        <v>703</v>
      </c>
      <c r="D393" s="280">
        <v>1240</v>
      </c>
      <c r="E393" s="285">
        <v>3180</v>
      </c>
      <c r="F393" s="297"/>
      <c r="G393" s="286">
        <v>1.0364</v>
      </c>
      <c r="H393" s="287">
        <f t="shared" si="51"/>
        <v>3296</v>
      </c>
      <c r="I393" s="287">
        <f t="shared" si="47"/>
        <v>116</v>
      </c>
      <c r="J393" s="288">
        <f t="shared" si="45"/>
        <v>3461</v>
      </c>
      <c r="K393" s="287">
        <f t="shared" si="48"/>
        <v>34.61</v>
      </c>
      <c r="L393" s="287">
        <f t="shared" si="49"/>
        <v>34.6</v>
      </c>
      <c r="M393" s="287">
        <f t="shared" si="50"/>
        <v>3460</v>
      </c>
      <c r="N393" s="280">
        <v>3460</v>
      </c>
      <c r="O393" s="289">
        <f t="shared" si="46"/>
        <v>1.049757281553398</v>
      </c>
    </row>
    <row r="394" spans="1:15" s="232" customFormat="1" ht="16.95" customHeight="1">
      <c r="A394" s="277">
        <v>361</v>
      </c>
      <c r="B394" s="296"/>
      <c r="C394" s="279" t="s">
        <v>704</v>
      </c>
      <c r="D394" s="280">
        <v>1860</v>
      </c>
      <c r="E394" s="285">
        <v>2650</v>
      </c>
      <c r="F394" s="297"/>
      <c r="G394" s="286">
        <v>1.0364</v>
      </c>
      <c r="H394" s="287">
        <f t="shared" si="51"/>
        <v>2746</v>
      </c>
      <c r="I394" s="287">
        <f t="shared" si="47"/>
        <v>96</v>
      </c>
      <c r="J394" s="288">
        <f t="shared" si="45"/>
        <v>2883</v>
      </c>
      <c r="K394" s="287">
        <f t="shared" si="48"/>
        <v>28.83</v>
      </c>
      <c r="L394" s="287">
        <f t="shared" si="49"/>
        <v>28.8</v>
      </c>
      <c r="M394" s="287">
        <f t="shared" si="50"/>
        <v>2880</v>
      </c>
      <c r="N394" s="280">
        <v>2880</v>
      </c>
      <c r="O394" s="289">
        <f t="shared" si="46"/>
        <v>1.0487982520029133</v>
      </c>
    </row>
    <row r="395" spans="1:15" s="232" customFormat="1" ht="16.95" customHeight="1">
      <c r="A395" s="277">
        <v>362</v>
      </c>
      <c r="B395" s="296"/>
      <c r="C395" s="279" t="s">
        <v>705</v>
      </c>
      <c r="D395" s="280">
        <v>3720</v>
      </c>
      <c r="E395" s="285">
        <v>795</v>
      </c>
      <c r="F395" s="297"/>
      <c r="G395" s="286">
        <v>1.0364</v>
      </c>
      <c r="H395" s="287">
        <f t="shared" si="51"/>
        <v>824</v>
      </c>
      <c r="I395" s="287">
        <f t="shared" si="47"/>
        <v>29</v>
      </c>
      <c r="J395" s="288">
        <f t="shared" si="45"/>
        <v>865</v>
      </c>
      <c r="K395" s="287">
        <f t="shared" si="48"/>
        <v>8.65</v>
      </c>
      <c r="L395" s="287">
        <f t="shared" si="49"/>
        <v>8.6999999999999993</v>
      </c>
      <c r="M395" s="287">
        <f t="shared" si="50"/>
        <v>869.99999999999989</v>
      </c>
      <c r="N395" s="280">
        <v>869.99999999999989</v>
      </c>
      <c r="O395" s="289">
        <f t="shared" si="46"/>
        <v>1.0558252427184465</v>
      </c>
    </row>
    <row r="396" spans="1:15" s="232" customFormat="1" ht="16.95" customHeight="1">
      <c r="A396" s="277">
        <v>363</v>
      </c>
      <c r="B396" s="296"/>
      <c r="C396" s="279" t="s">
        <v>706</v>
      </c>
      <c r="D396" s="280">
        <v>3100</v>
      </c>
      <c r="E396" s="285">
        <v>1590</v>
      </c>
      <c r="F396" s="297"/>
      <c r="G396" s="286">
        <v>1.0364</v>
      </c>
      <c r="H396" s="287">
        <f t="shared" si="51"/>
        <v>1648</v>
      </c>
      <c r="I396" s="287">
        <f t="shared" si="47"/>
        <v>58</v>
      </c>
      <c r="J396" s="288">
        <f t="shared" si="45"/>
        <v>1730</v>
      </c>
      <c r="K396" s="287">
        <f t="shared" si="48"/>
        <v>17.3</v>
      </c>
      <c r="L396" s="287">
        <f t="shared" si="49"/>
        <v>17.3</v>
      </c>
      <c r="M396" s="287">
        <f t="shared" si="50"/>
        <v>1730</v>
      </c>
      <c r="N396" s="280">
        <v>1730</v>
      </c>
      <c r="O396" s="289">
        <f t="shared" si="46"/>
        <v>1.049757281553398</v>
      </c>
    </row>
    <row r="397" spans="1:15" s="232" customFormat="1" ht="16.95" customHeight="1">
      <c r="A397" s="277">
        <v>364</v>
      </c>
      <c r="B397" s="296"/>
      <c r="C397" s="279" t="s">
        <v>743</v>
      </c>
      <c r="D397" s="280">
        <v>930</v>
      </c>
      <c r="E397" s="285">
        <v>2650</v>
      </c>
      <c r="F397" s="297"/>
      <c r="G397" s="286">
        <v>1.0364</v>
      </c>
      <c r="H397" s="287">
        <f t="shared" si="51"/>
        <v>2746</v>
      </c>
      <c r="I397" s="287">
        <f t="shared" si="47"/>
        <v>96</v>
      </c>
      <c r="J397" s="288">
        <f t="shared" si="45"/>
        <v>2883</v>
      </c>
      <c r="K397" s="287">
        <f t="shared" si="48"/>
        <v>28.83</v>
      </c>
      <c r="L397" s="287">
        <f t="shared" si="49"/>
        <v>28.8</v>
      </c>
      <c r="M397" s="287">
        <f t="shared" si="50"/>
        <v>2880</v>
      </c>
      <c r="N397" s="280">
        <v>2880</v>
      </c>
      <c r="O397" s="289">
        <f t="shared" si="46"/>
        <v>1.0487982520029133</v>
      </c>
    </row>
    <row r="398" spans="1:15" s="232" customFormat="1" ht="16.95" customHeight="1">
      <c r="A398" s="277">
        <v>365</v>
      </c>
      <c r="B398" s="296"/>
      <c r="C398" s="279" t="s">
        <v>744</v>
      </c>
      <c r="D398" s="280">
        <v>1860</v>
      </c>
      <c r="E398" s="285">
        <v>4770</v>
      </c>
      <c r="F398" s="297"/>
      <c r="G398" s="286">
        <v>1.0364</v>
      </c>
      <c r="H398" s="287">
        <f t="shared" si="51"/>
        <v>4944</v>
      </c>
      <c r="I398" s="287">
        <f t="shared" si="47"/>
        <v>174</v>
      </c>
      <c r="J398" s="288">
        <f t="shared" si="45"/>
        <v>5191</v>
      </c>
      <c r="K398" s="287">
        <f t="shared" si="48"/>
        <v>51.91</v>
      </c>
      <c r="L398" s="287">
        <f t="shared" si="49"/>
        <v>51.9</v>
      </c>
      <c r="M398" s="287">
        <f t="shared" si="50"/>
        <v>5190</v>
      </c>
      <c r="N398" s="280">
        <v>5190</v>
      </c>
      <c r="O398" s="289">
        <f t="shared" si="46"/>
        <v>1.049757281553398</v>
      </c>
    </row>
    <row r="399" spans="1:15" s="232" customFormat="1" ht="16.95" customHeight="1">
      <c r="A399" s="277">
        <v>366</v>
      </c>
      <c r="B399" s="296"/>
      <c r="C399" s="279" t="s">
        <v>745</v>
      </c>
      <c r="D399" s="280">
        <v>3100</v>
      </c>
      <c r="E399" s="285">
        <v>3975</v>
      </c>
      <c r="F399" s="297"/>
      <c r="G399" s="286">
        <v>1.0364</v>
      </c>
      <c r="H399" s="287">
        <f t="shared" si="51"/>
        <v>4120</v>
      </c>
      <c r="I399" s="287">
        <f t="shared" si="47"/>
        <v>145</v>
      </c>
      <c r="J399" s="288">
        <f t="shared" si="45"/>
        <v>4326</v>
      </c>
      <c r="K399" s="287">
        <f t="shared" si="48"/>
        <v>43.26</v>
      </c>
      <c r="L399" s="287">
        <f t="shared" si="49"/>
        <v>43.3</v>
      </c>
      <c r="M399" s="287">
        <f t="shared" si="50"/>
        <v>4330</v>
      </c>
      <c r="N399" s="280">
        <v>4330</v>
      </c>
      <c r="O399" s="289">
        <f t="shared" si="46"/>
        <v>1.0509708737864079</v>
      </c>
    </row>
    <row r="400" spans="1:15" s="232" customFormat="1" ht="16.95" customHeight="1">
      <c r="A400" s="277">
        <v>367</v>
      </c>
      <c r="B400" s="296"/>
      <c r="C400" s="279" t="s">
        <v>746</v>
      </c>
      <c r="D400" s="280">
        <v>5580</v>
      </c>
      <c r="E400" s="285">
        <v>470</v>
      </c>
      <c r="F400" s="297"/>
      <c r="G400" s="286">
        <v>1.0364</v>
      </c>
      <c r="H400" s="287">
        <f t="shared" si="51"/>
        <v>487</v>
      </c>
      <c r="I400" s="287">
        <f t="shared" si="47"/>
        <v>17</v>
      </c>
      <c r="J400" s="288">
        <f t="shared" si="45"/>
        <v>511</v>
      </c>
      <c r="K400" s="287">
        <f t="shared" si="48"/>
        <v>5.1100000000000003</v>
      </c>
      <c r="L400" s="287">
        <f t="shared" si="49"/>
        <v>5.0999999999999996</v>
      </c>
      <c r="M400" s="287">
        <f t="shared" si="50"/>
        <v>509.99999999999994</v>
      </c>
      <c r="N400" s="280">
        <v>509.99999999999994</v>
      </c>
      <c r="O400" s="289">
        <f t="shared" si="46"/>
        <v>1.0472279260780286</v>
      </c>
    </row>
    <row r="401" spans="1:15" s="232" customFormat="1" ht="16.95" customHeight="1">
      <c r="A401" s="277">
        <v>368</v>
      </c>
      <c r="B401" s="296"/>
      <c r="C401" s="279" t="s">
        <v>747</v>
      </c>
      <c r="D401" s="280">
        <v>4650</v>
      </c>
      <c r="E401" s="285">
        <v>940</v>
      </c>
      <c r="F401" s="297"/>
      <c r="G401" s="286">
        <v>1.0364</v>
      </c>
      <c r="H401" s="287">
        <f t="shared" si="51"/>
        <v>974</v>
      </c>
      <c r="I401" s="287">
        <f t="shared" si="47"/>
        <v>34</v>
      </c>
      <c r="J401" s="288">
        <f t="shared" si="45"/>
        <v>1023</v>
      </c>
      <c r="K401" s="287">
        <f t="shared" si="48"/>
        <v>10.23</v>
      </c>
      <c r="L401" s="287">
        <f t="shared" si="49"/>
        <v>10.199999999999999</v>
      </c>
      <c r="M401" s="287">
        <f t="shared" si="50"/>
        <v>1019.9999999999999</v>
      </c>
      <c r="N401" s="280">
        <v>1019.9999999999999</v>
      </c>
      <c r="O401" s="289">
        <f t="shared" si="46"/>
        <v>1.0472279260780286</v>
      </c>
    </row>
    <row r="402" spans="1:15" s="232" customFormat="1" ht="16.95" customHeight="1">
      <c r="A402" s="277">
        <v>374</v>
      </c>
      <c r="B402" s="296"/>
      <c r="C402" s="279" t="s">
        <v>707</v>
      </c>
      <c r="D402" s="280">
        <v>560</v>
      </c>
      <c r="E402" s="285">
        <v>1410</v>
      </c>
      <c r="F402" s="297"/>
      <c r="G402" s="286">
        <v>1.0364</v>
      </c>
      <c r="H402" s="287">
        <f t="shared" si="51"/>
        <v>1461</v>
      </c>
      <c r="I402" s="287">
        <f t="shared" si="47"/>
        <v>51</v>
      </c>
      <c r="J402" s="288">
        <f t="shared" si="45"/>
        <v>1534</v>
      </c>
      <c r="K402" s="287">
        <f t="shared" si="48"/>
        <v>15.34</v>
      </c>
      <c r="L402" s="287">
        <f t="shared" si="49"/>
        <v>15.3</v>
      </c>
      <c r="M402" s="287">
        <f t="shared" si="50"/>
        <v>1530</v>
      </c>
      <c r="N402" s="280">
        <v>1530</v>
      </c>
      <c r="O402" s="289">
        <f t="shared" si="46"/>
        <v>1.0472279260780288</v>
      </c>
    </row>
    <row r="403" spans="1:15" s="232" customFormat="1" ht="16.95" customHeight="1">
      <c r="A403" s="277">
        <v>375</v>
      </c>
      <c r="B403" s="296"/>
      <c r="C403" s="279" t="s">
        <v>708</v>
      </c>
      <c r="D403" s="280">
        <v>1120</v>
      </c>
      <c r="E403" s="285">
        <v>2820</v>
      </c>
      <c r="F403" s="297"/>
      <c r="G403" s="286">
        <v>1.0364</v>
      </c>
      <c r="H403" s="287">
        <f t="shared" si="51"/>
        <v>2923</v>
      </c>
      <c r="I403" s="287">
        <f t="shared" si="47"/>
        <v>103</v>
      </c>
      <c r="J403" s="288">
        <f t="shared" si="45"/>
        <v>3069</v>
      </c>
      <c r="K403" s="287">
        <f t="shared" si="48"/>
        <v>30.69</v>
      </c>
      <c r="L403" s="287">
        <f t="shared" si="49"/>
        <v>30.7</v>
      </c>
      <c r="M403" s="287">
        <f t="shared" si="50"/>
        <v>3070</v>
      </c>
      <c r="N403" s="280">
        <v>3070</v>
      </c>
      <c r="O403" s="289">
        <f t="shared" si="46"/>
        <v>1.0502907971262401</v>
      </c>
    </row>
    <row r="404" spans="1:15" s="232" customFormat="1" ht="16.95" customHeight="1">
      <c r="A404" s="277">
        <v>376</v>
      </c>
      <c r="B404" s="296"/>
      <c r="C404" s="279" t="s">
        <v>709</v>
      </c>
      <c r="D404" s="280">
        <v>1680</v>
      </c>
      <c r="E404" s="285">
        <v>2350</v>
      </c>
      <c r="F404" s="297"/>
      <c r="G404" s="286">
        <v>1.0364</v>
      </c>
      <c r="H404" s="287">
        <f t="shared" si="51"/>
        <v>2436</v>
      </c>
      <c r="I404" s="287">
        <f t="shared" si="47"/>
        <v>86</v>
      </c>
      <c r="J404" s="288">
        <f t="shared" si="45"/>
        <v>2558</v>
      </c>
      <c r="K404" s="287">
        <f t="shared" si="48"/>
        <v>25.58</v>
      </c>
      <c r="L404" s="287">
        <f t="shared" si="49"/>
        <v>25.6</v>
      </c>
      <c r="M404" s="287">
        <f t="shared" si="50"/>
        <v>2560</v>
      </c>
      <c r="N404" s="280">
        <v>2560</v>
      </c>
      <c r="O404" s="289">
        <f t="shared" si="46"/>
        <v>1.0509031198686372</v>
      </c>
    </row>
    <row r="405" spans="1:15" s="232" customFormat="1" ht="16.95" customHeight="1">
      <c r="A405" s="277">
        <v>377</v>
      </c>
      <c r="B405" s="296"/>
      <c r="C405" s="279" t="s">
        <v>710</v>
      </c>
      <c r="D405" s="280">
        <v>3380</v>
      </c>
      <c r="E405" s="285">
        <v>705</v>
      </c>
      <c r="F405" s="297"/>
      <c r="G405" s="286">
        <v>1.0364</v>
      </c>
      <c r="H405" s="287">
        <f t="shared" si="51"/>
        <v>731</v>
      </c>
      <c r="I405" s="287">
        <f t="shared" si="47"/>
        <v>26</v>
      </c>
      <c r="J405" s="288">
        <f t="shared" si="45"/>
        <v>768</v>
      </c>
      <c r="K405" s="287">
        <f t="shared" si="48"/>
        <v>7.68</v>
      </c>
      <c r="L405" s="287">
        <f t="shared" si="49"/>
        <v>7.7</v>
      </c>
      <c r="M405" s="287">
        <f t="shared" si="50"/>
        <v>770</v>
      </c>
      <c r="N405" s="280">
        <v>770</v>
      </c>
      <c r="O405" s="289">
        <f t="shared" si="46"/>
        <v>1.0533515731874146</v>
      </c>
    </row>
    <row r="406" spans="1:15" s="232" customFormat="1" ht="16.95" customHeight="1">
      <c r="A406" s="277">
        <v>378</v>
      </c>
      <c r="B406" s="296"/>
      <c r="C406" s="279" t="s">
        <v>711</v>
      </c>
      <c r="D406" s="280">
        <v>2820</v>
      </c>
      <c r="E406" s="285">
        <v>1410</v>
      </c>
      <c r="F406" s="297"/>
      <c r="G406" s="286">
        <v>1.0364</v>
      </c>
      <c r="H406" s="287">
        <f t="shared" si="51"/>
        <v>1461</v>
      </c>
      <c r="I406" s="287">
        <f t="shared" si="47"/>
        <v>51</v>
      </c>
      <c r="J406" s="288">
        <f t="shared" si="45"/>
        <v>1534</v>
      </c>
      <c r="K406" s="287">
        <f t="shared" si="48"/>
        <v>15.34</v>
      </c>
      <c r="L406" s="287">
        <f t="shared" si="49"/>
        <v>15.3</v>
      </c>
      <c r="M406" s="287">
        <f t="shared" si="50"/>
        <v>1530</v>
      </c>
      <c r="N406" s="280">
        <v>1530</v>
      </c>
      <c r="O406" s="289">
        <f t="shared" si="46"/>
        <v>1.0472279260780288</v>
      </c>
    </row>
    <row r="407" spans="1:15" s="232" customFormat="1" ht="16.95" customHeight="1">
      <c r="A407" s="277">
        <v>379</v>
      </c>
      <c r="B407" s="296"/>
      <c r="C407" s="279" t="s">
        <v>748</v>
      </c>
      <c r="D407" s="280">
        <v>850</v>
      </c>
      <c r="E407" s="285">
        <v>2350</v>
      </c>
      <c r="F407" s="297"/>
      <c r="G407" s="286">
        <v>1.0364</v>
      </c>
      <c r="H407" s="287">
        <f t="shared" si="51"/>
        <v>2436</v>
      </c>
      <c r="I407" s="287">
        <f t="shared" si="47"/>
        <v>86</v>
      </c>
      <c r="J407" s="288">
        <f t="shared" si="45"/>
        <v>2558</v>
      </c>
      <c r="K407" s="287">
        <f t="shared" si="48"/>
        <v>25.58</v>
      </c>
      <c r="L407" s="287">
        <f t="shared" si="49"/>
        <v>25.6</v>
      </c>
      <c r="M407" s="287">
        <f t="shared" si="50"/>
        <v>2560</v>
      </c>
      <c r="N407" s="280">
        <v>2560</v>
      </c>
      <c r="O407" s="289">
        <f t="shared" si="46"/>
        <v>1.0509031198686372</v>
      </c>
    </row>
    <row r="408" spans="1:15" s="232" customFormat="1" ht="16.95" customHeight="1">
      <c r="A408" s="277">
        <v>380</v>
      </c>
      <c r="B408" s="296"/>
      <c r="C408" s="279" t="s">
        <v>749</v>
      </c>
      <c r="D408" s="280">
        <v>1680</v>
      </c>
      <c r="E408" s="285">
        <v>4230</v>
      </c>
      <c r="F408" s="297"/>
      <c r="G408" s="286">
        <v>1.0364</v>
      </c>
      <c r="H408" s="287">
        <f t="shared" si="51"/>
        <v>4384</v>
      </c>
      <c r="I408" s="287">
        <f t="shared" si="47"/>
        <v>154</v>
      </c>
      <c r="J408" s="288">
        <f t="shared" si="45"/>
        <v>4603</v>
      </c>
      <c r="K408" s="287">
        <f t="shared" si="48"/>
        <v>46.03</v>
      </c>
      <c r="L408" s="287">
        <f t="shared" si="49"/>
        <v>46</v>
      </c>
      <c r="M408" s="287">
        <f t="shared" si="50"/>
        <v>4600</v>
      </c>
      <c r="N408" s="280">
        <v>4600</v>
      </c>
      <c r="O408" s="289">
        <f t="shared" si="46"/>
        <v>1.0492700729927007</v>
      </c>
    </row>
    <row r="409" spans="1:15" s="232" customFormat="1" ht="16.95" customHeight="1">
      <c r="A409" s="277">
        <v>381</v>
      </c>
      <c r="B409" s="296"/>
      <c r="C409" s="279" t="s">
        <v>750</v>
      </c>
      <c r="D409" s="280">
        <v>2820</v>
      </c>
      <c r="E409" s="285">
        <v>3525</v>
      </c>
      <c r="F409" s="297"/>
      <c r="G409" s="286">
        <v>1.0364</v>
      </c>
      <c r="H409" s="287">
        <f t="shared" si="51"/>
        <v>3653</v>
      </c>
      <c r="I409" s="287">
        <f t="shared" si="47"/>
        <v>128</v>
      </c>
      <c r="J409" s="288">
        <f t="shared" si="45"/>
        <v>3836</v>
      </c>
      <c r="K409" s="287">
        <f t="shared" si="48"/>
        <v>38.36</v>
      </c>
      <c r="L409" s="287">
        <f t="shared" si="49"/>
        <v>38.4</v>
      </c>
      <c r="M409" s="287">
        <f t="shared" si="50"/>
        <v>3840</v>
      </c>
      <c r="N409" s="280">
        <v>3840</v>
      </c>
      <c r="O409" s="289">
        <f t="shared" si="46"/>
        <v>1.0511908020804819</v>
      </c>
    </row>
    <row r="410" spans="1:15" s="232" customFormat="1" ht="16.95" customHeight="1">
      <c r="A410" s="277">
        <v>382</v>
      </c>
      <c r="B410" s="296"/>
      <c r="C410" s="279" t="s">
        <v>751</v>
      </c>
      <c r="D410" s="280">
        <v>5060</v>
      </c>
      <c r="E410" s="285">
        <v>132.4</v>
      </c>
      <c r="F410" s="297"/>
      <c r="G410" s="286">
        <v>1.0364</v>
      </c>
      <c r="H410" s="287">
        <f t="shared" si="51"/>
        <v>137</v>
      </c>
      <c r="I410" s="287">
        <f t="shared" si="47"/>
        <v>4.5999999999999943</v>
      </c>
      <c r="J410" s="288">
        <f t="shared" si="45"/>
        <v>144</v>
      </c>
      <c r="K410" s="287">
        <f t="shared" si="48"/>
        <v>1.44</v>
      </c>
      <c r="L410" s="287">
        <f t="shared" si="49"/>
        <v>1.4</v>
      </c>
      <c r="M410" s="287">
        <f t="shared" si="50"/>
        <v>140</v>
      </c>
      <c r="N410" s="280">
        <v>140</v>
      </c>
      <c r="O410" s="289">
        <f t="shared" si="46"/>
        <v>1.0218978102189782</v>
      </c>
    </row>
    <row r="411" spans="1:15" s="232" customFormat="1" ht="16.95" customHeight="1">
      <c r="A411" s="277">
        <v>383</v>
      </c>
      <c r="B411" s="296"/>
      <c r="C411" s="279" t="s">
        <v>752</v>
      </c>
      <c r="D411" s="280">
        <v>4220</v>
      </c>
      <c r="E411" s="285">
        <v>264.8</v>
      </c>
      <c r="F411" s="297"/>
      <c r="G411" s="286">
        <v>1.0364</v>
      </c>
      <c r="H411" s="287">
        <f t="shared" si="51"/>
        <v>274</v>
      </c>
      <c r="I411" s="287">
        <f t="shared" si="47"/>
        <v>9.1999999999999886</v>
      </c>
      <c r="J411" s="288">
        <f t="shared" ref="J411:J474" si="52">ROUND(H411*1.05, 0)</f>
        <v>288</v>
      </c>
      <c r="K411" s="287">
        <f t="shared" si="48"/>
        <v>2.88</v>
      </c>
      <c r="L411" s="287">
        <f t="shared" si="49"/>
        <v>2.9</v>
      </c>
      <c r="M411" s="287">
        <f t="shared" si="50"/>
        <v>290</v>
      </c>
      <c r="N411" s="280">
        <v>290</v>
      </c>
      <c r="O411" s="289">
        <f t="shared" ref="O411:O474" si="53">N411/H411</f>
        <v>1.0583941605839415</v>
      </c>
    </row>
    <row r="412" spans="1:15" s="232" customFormat="1" ht="16.95" customHeight="1">
      <c r="A412" s="277">
        <v>389</v>
      </c>
      <c r="B412" s="296"/>
      <c r="C412" s="279" t="s">
        <v>712</v>
      </c>
      <c r="D412" s="280">
        <v>150</v>
      </c>
      <c r="E412" s="285">
        <v>397.2</v>
      </c>
      <c r="F412" s="297"/>
      <c r="G412" s="286">
        <v>1.0364</v>
      </c>
      <c r="H412" s="287">
        <f t="shared" si="51"/>
        <v>412</v>
      </c>
      <c r="I412" s="287">
        <f t="shared" ref="I412:I475" si="54">H412-E412</f>
        <v>14.800000000000011</v>
      </c>
      <c r="J412" s="288">
        <f t="shared" si="52"/>
        <v>433</v>
      </c>
      <c r="K412" s="287">
        <f t="shared" ref="K412:K475" si="55">J412/100</f>
        <v>4.33</v>
      </c>
      <c r="L412" s="287">
        <f t="shared" ref="L412:L475" si="56">ROUND(K412,1)</f>
        <v>4.3</v>
      </c>
      <c r="M412" s="287">
        <f t="shared" si="50"/>
        <v>430</v>
      </c>
      <c r="N412" s="280">
        <v>430</v>
      </c>
      <c r="O412" s="289">
        <f t="shared" si="53"/>
        <v>1.0436893203883495</v>
      </c>
    </row>
    <row r="413" spans="1:15" s="232" customFormat="1" ht="16.95" customHeight="1">
      <c r="A413" s="277">
        <v>390</v>
      </c>
      <c r="B413" s="296"/>
      <c r="C413" s="279" t="s">
        <v>713</v>
      </c>
      <c r="D413" s="280">
        <v>320</v>
      </c>
      <c r="E413" s="285">
        <v>794.4</v>
      </c>
      <c r="F413" s="297"/>
      <c r="G413" s="286">
        <v>1.0364</v>
      </c>
      <c r="H413" s="287">
        <f t="shared" si="51"/>
        <v>823</v>
      </c>
      <c r="I413" s="287">
        <f t="shared" si="54"/>
        <v>28.600000000000023</v>
      </c>
      <c r="J413" s="288">
        <f t="shared" si="52"/>
        <v>864</v>
      </c>
      <c r="K413" s="287">
        <f t="shared" si="55"/>
        <v>8.64</v>
      </c>
      <c r="L413" s="287">
        <f t="shared" si="56"/>
        <v>8.6</v>
      </c>
      <c r="M413" s="287">
        <f t="shared" ref="M413:M476" si="57">L413*100</f>
        <v>860</v>
      </c>
      <c r="N413" s="280">
        <v>860</v>
      </c>
      <c r="O413" s="289">
        <f t="shared" si="53"/>
        <v>1.0449574726609963</v>
      </c>
    </row>
    <row r="414" spans="1:15" s="232" customFormat="1" ht="16.95" customHeight="1">
      <c r="A414" s="277">
        <v>391</v>
      </c>
      <c r="B414" s="296"/>
      <c r="C414" s="279" t="s">
        <v>714</v>
      </c>
      <c r="D414" s="280">
        <v>470</v>
      </c>
      <c r="E414" s="285">
        <v>662</v>
      </c>
      <c r="F414" s="297"/>
      <c r="G414" s="286">
        <v>1.0364</v>
      </c>
      <c r="H414" s="287">
        <f t="shared" ref="H414:H439" si="58">ROUND(E414*G414, 0)</f>
        <v>686</v>
      </c>
      <c r="I414" s="287">
        <f t="shared" si="54"/>
        <v>24</v>
      </c>
      <c r="J414" s="288">
        <f t="shared" si="52"/>
        <v>720</v>
      </c>
      <c r="K414" s="287">
        <f t="shared" si="55"/>
        <v>7.2</v>
      </c>
      <c r="L414" s="287">
        <f t="shared" si="56"/>
        <v>7.2</v>
      </c>
      <c r="M414" s="287">
        <f t="shared" si="57"/>
        <v>720</v>
      </c>
      <c r="N414" s="280">
        <v>720</v>
      </c>
      <c r="O414" s="289">
        <f t="shared" si="53"/>
        <v>1.0495626822157433</v>
      </c>
    </row>
    <row r="415" spans="1:15" s="232" customFormat="1" ht="16.95" customHeight="1">
      <c r="A415" s="277">
        <v>392</v>
      </c>
      <c r="B415" s="296"/>
      <c r="C415" s="279" t="s">
        <v>715</v>
      </c>
      <c r="D415" s="280">
        <v>950</v>
      </c>
      <c r="E415" s="285">
        <v>198.6</v>
      </c>
      <c r="F415" s="297"/>
      <c r="G415" s="286">
        <v>1.0364</v>
      </c>
      <c r="H415" s="287">
        <f t="shared" si="58"/>
        <v>206</v>
      </c>
      <c r="I415" s="287">
        <f t="shared" si="54"/>
        <v>7.4000000000000057</v>
      </c>
      <c r="J415" s="288">
        <f t="shared" si="52"/>
        <v>216</v>
      </c>
      <c r="K415" s="287">
        <f t="shared" si="55"/>
        <v>2.16</v>
      </c>
      <c r="L415" s="287">
        <f t="shared" si="56"/>
        <v>2.2000000000000002</v>
      </c>
      <c r="M415" s="287">
        <f t="shared" si="57"/>
        <v>220.00000000000003</v>
      </c>
      <c r="N415" s="280">
        <v>220.00000000000003</v>
      </c>
      <c r="O415" s="289">
        <f t="shared" si="53"/>
        <v>1.0679611650485439</v>
      </c>
    </row>
    <row r="416" spans="1:15" s="232" customFormat="1" ht="16.95" customHeight="1">
      <c r="A416" s="277">
        <v>393</v>
      </c>
      <c r="B416" s="296"/>
      <c r="C416" s="279" t="s">
        <v>716</v>
      </c>
      <c r="D416" s="280">
        <v>790</v>
      </c>
      <c r="E416" s="285">
        <v>397.2</v>
      </c>
      <c r="F416" s="297"/>
      <c r="G416" s="286">
        <v>1.0364</v>
      </c>
      <c r="H416" s="287">
        <f t="shared" si="58"/>
        <v>412</v>
      </c>
      <c r="I416" s="287">
        <f t="shared" si="54"/>
        <v>14.800000000000011</v>
      </c>
      <c r="J416" s="288">
        <f t="shared" si="52"/>
        <v>433</v>
      </c>
      <c r="K416" s="287">
        <f t="shared" si="55"/>
        <v>4.33</v>
      </c>
      <c r="L416" s="287">
        <f t="shared" si="56"/>
        <v>4.3</v>
      </c>
      <c r="M416" s="287">
        <f t="shared" si="57"/>
        <v>430</v>
      </c>
      <c r="N416" s="280">
        <v>430</v>
      </c>
      <c r="O416" s="289">
        <f t="shared" si="53"/>
        <v>1.0436893203883495</v>
      </c>
    </row>
    <row r="417" spans="1:15" s="232" customFormat="1" ht="16.95" customHeight="1">
      <c r="A417" s="277">
        <v>394</v>
      </c>
      <c r="B417" s="296"/>
      <c r="C417" s="279" t="s">
        <v>753</v>
      </c>
      <c r="D417" s="280">
        <v>240</v>
      </c>
      <c r="E417" s="285">
        <v>662</v>
      </c>
      <c r="F417" s="297"/>
      <c r="G417" s="286">
        <v>1.0364</v>
      </c>
      <c r="H417" s="287">
        <f t="shared" si="58"/>
        <v>686</v>
      </c>
      <c r="I417" s="287">
        <f t="shared" si="54"/>
        <v>24</v>
      </c>
      <c r="J417" s="288">
        <f t="shared" si="52"/>
        <v>720</v>
      </c>
      <c r="K417" s="287">
        <f t="shared" si="55"/>
        <v>7.2</v>
      </c>
      <c r="L417" s="287">
        <f t="shared" si="56"/>
        <v>7.2</v>
      </c>
      <c r="M417" s="287">
        <f t="shared" si="57"/>
        <v>720</v>
      </c>
      <c r="N417" s="280">
        <v>720</v>
      </c>
      <c r="O417" s="289">
        <f t="shared" si="53"/>
        <v>1.0495626822157433</v>
      </c>
    </row>
    <row r="418" spans="1:15" s="232" customFormat="1" ht="16.95" customHeight="1">
      <c r="A418" s="277">
        <v>395</v>
      </c>
      <c r="B418" s="296"/>
      <c r="C418" s="279" t="s">
        <v>754</v>
      </c>
      <c r="D418" s="280">
        <v>470</v>
      </c>
      <c r="E418" s="285">
        <v>1191.5999999999999</v>
      </c>
      <c r="F418" s="297"/>
      <c r="G418" s="286">
        <v>1.0364</v>
      </c>
      <c r="H418" s="287">
        <f t="shared" si="58"/>
        <v>1235</v>
      </c>
      <c r="I418" s="287">
        <f t="shared" si="54"/>
        <v>43.400000000000091</v>
      </c>
      <c r="J418" s="288">
        <f t="shared" si="52"/>
        <v>1297</v>
      </c>
      <c r="K418" s="287">
        <f t="shared" si="55"/>
        <v>12.97</v>
      </c>
      <c r="L418" s="287">
        <f t="shared" si="56"/>
        <v>13</v>
      </c>
      <c r="M418" s="287">
        <f t="shared" si="57"/>
        <v>1300</v>
      </c>
      <c r="N418" s="280">
        <v>1300</v>
      </c>
      <c r="O418" s="289">
        <f t="shared" si="53"/>
        <v>1.0526315789473684</v>
      </c>
    </row>
    <row r="419" spans="1:15" s="232" customFormat="1" ht="16.95" customHeight="1">
      <c r="A419" s="277">
        <v>396</v>
      </c>
      <c r="B419" s="296"/>
      <c r="C419" s="279" t="s">
        <v>755</v>
      </c>
      <c r="D419" s="280">
        <v>790</v>
      </c>
      <c r="E419" s="285">
        <v>993</v>
      </c>
      <c r="F419" s="297"/>
      <c r="G419" s="286">
        <v>1.0364</v>
      </c>
      <c r="H419" s="287">
        <f t="shared" si="58"/>
        <v>1029</v>
      </c>
      <c r="I419" s="287">
        <f t="shared" si="54"/>
        <v>36</v>
      </c>
      <c r="J419" s="288">
        <f t="shared" si="52"/>
        <v>1080</v>
      </c>
      <c r="K419" s="287">
        <f t="shared" si="55"/>
        <v>10.8</v>
      </c>
      <c r="L419" s="287">
        <f t="shared" si="56"/>
        <v>10.8</v>
      </c>
      <c r="M419" s="287">
        <f t="shared" si="57"/>
        <v>1080</v>
      </c>
      <c r="N419" s="280">
        <v>1080</v>
      </c>
      <c r="O419" s="289">
        <f t="shared" si="53"/>
        <v>1.0495626822157433</v>
      </c>
    </row>
    <row r="420" spans="1:15" s="232" customFormat="1" ht="16.95" customHeight="1">
      <c r="A420" s="277">
        <v>397</v>
      </c>
      <c r="B420" s="296"/>
      <c r="C420" s="279" t="s">
        <v>756</v>
      </c>
      <c r="D420" s="280">
        <v>1430</v>
      </c>
      <c r="E420" s="285">
        <v>216</v>
      </c>
      <c r="F420" s="297"/>
      <c r="G420" s="286">
        <v>1.0364</v>
      </c>
      <c r="H420" s="287">
        <f t="shared" si="58"/>
        <v>224</v>
      </c>
      <c r="I420" s="287">
        <f t="shared" si="54"/>
        <v>8</v>
      </c>
      <c r="J420" s="288">
        <f t="shared" si="52"/>
        <v>235</v>
      </c>
      <c r="K420" s="287">
        <f t="shared" si="55"/>
        <v>2.35</v>
      </c>
      <c r="L420" s="287">
        <f t="shared" si="56"/>
        <v>2.4</v>
      </c>
      <c r="M420" s="287">
        <f t="shared" si="57"/>
        <v>240</v>
      </c>
      <c r="N420" s="280">
        <v>240</v>
      </c>
      <c r="O420" s="289">
        <f t="shared" si="53"/>
        <v>1.0714285714285714</v>
      </c>
    </row>
    <row r="421" spans="1:15" s="232" customFormat="1" ht="16.95" customHeight="1">
      <c r="A421" s="277">
        <v>398</v>
      </c>
      <c r="B421" s="296"/>
      <c r="C421" s="279" t="s">
        <v>757</v>
      </c>
      <c r="D421" s="280">
        <v>1190</v>
      </c>
      <c r="E421" s="285">
        <v>432</v>
      </c>
      <c r="F421" s="297"/>
      <c r="G421" s="286">
        <v>1.0364</v>
      </c>
      <c r="H421" s="287">
        <f t="shared" si="58"/>
        <v>448</v>
      </c>
      <c r="I421" s="287">
        <f t="shared" si="54"/>
        <v>16</v>
      </c>
      <c r="J421" s="288">
        <f t="shared" si="52"/>
        <v>470</v>
      </c>
      <c r="K421" s="287">
        <f t="shared" si="55"/>
        <v>4.7</v>
      </c>
      <c r="L421" s="287">
        <f t="shared" si="56"/>
        <v>4.7</v>
      </c>
      <c r="M421" s="287">
        <f t="shared" si="57"/>
        <v>470</v>
      </c>
      <c r="N421" s="280">
        <v>470</v>
      </c>
      <c r="O421" s="289">
        <f t="shared" si="53"/>
        <v>1.0491071428571428</v>
      </c>
    </row>
    <row r="422" spans="1:15" s="232" customFormat="1" ht="16.95" customHeight="1">
      <c r="A422" s="277">
        <v>404</v>
      </c>
      <c r="B422" s="296"/>
      <c r="C422" s="279" t="s">
        <v>717</v>
      </c>
      <c r="D422" s="280">
        <v>260</v>
      </c>
      <c r="E422" s="285">
        <v>648</v>
      </c>
      <c r="F422" s="297"/>
      <c r="G422" s="286">
        <v>1.0364</v>
      </c>
      <c r="H422" s="287">
        <f t="shared" si="58"/>
        <v>672</v>
      </c>
      <c r="I422" s="287">
        <f t="shared" si="54"/>
        <v>24</v>
      </c>
      <c r="J422" s="288">
        <f t="shared" si="52"/>
        <v>706</v>
      </c>
      <c r="K422" s="287">
        <f t="shared" si="55"/>
        <v>7.06</v>
      </c>
      <c r="L422" s="287">
        <f t="shared" si="56"/>
        <v>7.1</v>
      </c>
      <c r="M422" s="287">
        <f t="shared" si="57"/>
        <v>710</v>
      </c>
      <c r="N422" s="280">
        <v>710</v>
      </c>
      <c r="O422" s="289">
        <f t="shared" si="53"/>
        <v>1.0565476190476191</v>
      </c>
    </row>
    <row r="423" spans="1:15" s="232" customFormat="1" ht="16.95" customHeight="1">
      <c r="A423" s="277">
        <v>405</v>
      </c>
      <c r="B423" s="296"/>
      <c r="C423" s="279" t="s">
        <v>718</v>
      </c>
      <c r="D423" s="280">
        <v>520</v>
      </c>
      <c r="E423" s="285">
        <v>1296</v>
      </c>
      <c r="F423" s="297"/>
      <c r="G423" s="286">
        <v>1.0364</v>
      </c>
      <c r="H423" s="287">
        <f t="shared" si="58"/>
        <v>1343</v>
      </c>
      <c r="I423" s="287">
        <f t="shared" si="54"/>
        <v>47</v>
      </c>
      <c r="J423" s="288">
        <f t="shared" si="52"/>
        <v>1410</v>
      </c>
      <c r="K423" s="287">
        <f t="shared" si="55"/>
        <v>14.1</v>
      </c>
      <c r="L423" s="287">
        <f t="shared" si="56"/>
        <v>14.1</v>
      </c>
      <c r="M423" s="287">
        <f t="shared" si="57"/>
        <v>1410</v>
      </c>
      <c r="N423" s="280">
        <v>1410</v>
      </c>
      <c r="O423" s="289">
        <f t="shared" si="53"/>
        <v>1.0498883097542815</v>
      </c>
    </row>
    <row r="424" spans="1:15" s="232" customFormat="1" ht="16.95" customHeight="1">
      <c r="A424" s="277">
        <v>406</v>
      </c>
      <c r="B424" s="296"/>
      <c r="C424" s="279" t="s">
        <v>719</v>
      </c>
      <c r="D424" s="280">
        <v>780</v>
      </c>
      <c r="E424" s="285">
        <v>1080</v>
      </c>
      <c r="F424" s="297"/>
      <c r="G424" s="286">
        <v>1.0364</v>
      </c>
      <c r="H424" s="287">
        <f t="shared" si="58"/>
        <v>1119</v>
      </c>
      <c r="I424" s="287">
        <f t="shared" si="54"/>
        <v>39</v>
      </c>
      <c r="J424" s="288">
        <f t="shared" si="52"/>
        <v>1175</v>
      </c>
      <c r="K424" s="287">
        <f t="shared" si="55"/>
        <v>11.75</v>
      </c>
      <c r="L424" s="287">
        <f t="shared" si="56"/>
        <v>11.8</v>
      </c>
      <c r="M424" s="287">
        <f t="shared" si="57"/>
        <v>1180</v>
      </c>
      <c r="N424" s="280">
        <v>1180</v>
      </c>
      <c r="O424" s="289">
        <f t="shared" si="53"/>
        <v>1.0545129579982127</v>
      </c>
    </row>
    <row r="425" spans="1:15" s="232" customFormat="1" ht="16.95" customHeight="1">
      <c r="A425" s="277">
        <v>407</v>
      </c>
      <c r="B425" s="296"/>
      <c r="C425" s="279" t="s">
        <v>720</v>
      </c>
      <c r="D425" s="280">
        <v>1550</v>
      </c>
      <c r="E425" s="285">
        <v>324</v>
      </c>
      <c r="F425" s="297"/>
      <c r="G425" s="286">
        <v>1.0364</v>
      </c>
      <c r="H425" s="287">
        <f t="shared" si="58"/>
        <v>336</v>
      </c>
      <c r="I425" s="287">
        <f t="shared" si="54"/>
        <v>12</v>
      </c>
      <c r="J425" s="288">
        <f t="shared" si="52"/>
        <v>353</v>
      </c>
      <c r="K425" s="287">
        <f t="shared" si="55"/>
        <v>3.53</v>
      </c>
      <c r="L425" s="287">
        <f t="shared" si="56"/>
        <v>3.5</v>
      </c>
      <c r="M425" s="287">
        <f t="shared" si="57"/>
        <v>350</v>
      </c>
      <c r="N425" s="280">
        <v>350</v>
      </c>
      <c r="O425" s="289">
        <f t="shared" si="53"/>
        <v>1.0416666666666667</v>
      </c>
    </row>
    <row r="426" spans="1:15" s="232" customFormat="1" ht="16.95" customHeight="1">
      <c r="A426" s="277">
        <v>408</v>
      </c>
      <c r="B426" s="296"/>
      <c r="C426" s="279" t="s">
        <v>721</v>
      </c>
      <c r="D426" s="280">
        <v>1300</v>
      </c>
      <c r="E426" s="285">
        <v>648</v>
      </c>
      <c r="F426" s="297"/>
      <c r="G426" s="286">
        <v>1.0364</v>
      </c>
      <c r="H426" s="287">
        <f t="shared" si="58"/>
        <v>672</v>
      </c>
      <c r="I426" s="287">
        <f t="shared" si="54"/>
        <v>24</v>
      </c>
      <c r="J426" s="288">
        <f t="shared" si="52"/>
        <v>706</v>
      </c>
      <c r="K426" s="287">
        <f t="shared" si="55"/>
        <v>7.06</v>
      </c>
      <c r="L426" s="287">
        <f t="shared" si="56"/>
        <v>7.1</v>
      </c>
      <c r="M426" s="287">
        <f t="shared" si="57"/>
        <v>710</v>
      </c>
      <c r="N426" s="280">
        <v>710</v>
      </c>
      <c r="O426" s="289">
        <f t="shared" si="53"/>
        <v>1.0565476190476191</v>
      </c>
    </row>
    <row r="427" spans="1:15" s="232" customFormat="1" ht="16.95" customHeight="1">
      <c r="A427" s="277">
        <v>409</v>
      </c>
      <c r="B427" s="296"/>
      <c r="C427" s="279" t="s">
        <v>758</v>
      </c>
      <c r="D427" s="280">
        <v>390</v>
      </c>
      <c r="E427" s="285">
        <v>1080</v>
      </c>
      <c r="F427" s="297"/>
      <c r="G427" s="286">
        <v>1.0364</v>
      </c>
      <c r="H427" s="287">
        <f t="shared" si="58"/>
        <v>1119</v>
      </c>
      <c r="I427" s="287">
        <f t="shared" si="54"/>
        <v>39</v>
      </c>
      <c r="J427" s="288">
        <f t="shared" si="52"/>
        <v>1175</v>
      </c>
      <c r="K427" s="287">
        <f t="shared" si="55"/>
        <v>11.75</v>
      </c>
      <c r="L427" s="287">
        <f t="shared" si="56"/>
        <v>11.8</v>
      </c>
      <c r="M427" s="287">
        <f t="shared" si="57"/>
        <v>1180</v>
      </c>
      <c r="N427" s="280">
        <v>1180</v>
      </c>
      <c r="O427" s="289">
        <f t="shared" si="53"/>
        <v>1.0545129579982127</v>
      </c>
    </row>
    <row r="428" spans="1:15" s="232" customFormat="1" ht="16.95" customHeight="1">
      <c r="A428" s="277">
        <v>410</v>
      </c>
      <c r="B428" s="296"/>
      <c r="C428" s="279" t="s">
        <v>759</v>
      </c>
      <c r="D428" s="280">
        <v>780</v>
      </c>
      <c r="E428" s="285">
        <v>1944</v>
      </c>
      <c r="F428" s="297"/>
      <c r="G428" s="286">
        <v>1.0364</v>
      </c>
      <c r="H428" s="287">
        <f t="shared" si="58"/>
        <v>2015</v>
      </c>
      <c r="I428" s="287">
        <f t="shared" si="54"/>
        <v>71</v>
      </c>
      <c r="J428" s="288">
        <f t="shared" si="52"/>
        <v>2116</v>
      </c>
      <c r="K428" s="287">
        <f t="shared" si="55"/>
        <v>21.16</v>
      </c>
      <c r="L428" s="287">
        <f t="shared" si="56"/>
        <v>21.2</v>
      </c>
      <c r="M428" s="287">
        <f t="shared" si="57"/>
        <v>2120</v>
      </c>
      <c r="N428" s="280">
        <v>2120</v>
      </c>
      <c r="O428" s="289">
        <f t="shared" si="53"/>
        <v>1.0521091811414391</v>
      </c>
    </row>
    <row r="429" spans="1:15" s="232" customFormat="1" ht="16.95" customHeight="1">
      <c r="A429" s="277">
        <v>411</v>
      </c>
      <c r="B429" s="296"/>
      <c r="C429" s="279" t="s">
        <v>760</v>
      </c>
      <c r="D429" s="280">
        <v>1300</v>
      </c>
      <c r="E429" s="285">
        <v>1620</v>
      </c>
      <c r="F429" s="297"/>
      <c r="G429" s="286">
        <v>1.0364</v>
      </c>
      <c r="H429" s="287">
        <f t="shared" si="58"/>
        <v>1679</v>
      </c>
      <c r="I429" s="287">
        <f t="shared" si="54"/>
        <v>59</v>
      </c>
      <c r="J429" s="288">
        <f t="shared" si="52"/>
        <v>1763</v>
      </c>
      <c r="K429" s="287">
        <f t="shared" si="55"/>
        <v>17.63</v>
      </c>
      <c r="L429" s="287">
        <f t="shared" si="56"/>
        <v>17.600000000000001</v>
      </c>
      <c r="M429" s="287">
        <f t="shared" si="57"/>
        <v>1760.0000000000002</v>
      </c>
      <c r="N429" s="280">
        <v>1760.0000000000002</v>
      </c>
      <c r="O429" s="289">
        <f t="shared" si="53"/>
        <v>1.0482430017867779</v>
      </c>
    </row>
    <row r="430" spans="1:15" s="232" customFormat="1" ht="16.95" customHeight="1">
      <c r="A430" s="277">
        <v>412</v>
      </c>
      <c r="B430" s="296"/>
      <c r="C430" s="279" t="s">
        <v>761</v>
      </c>
      <c r="D430" s="280">
        <v>2330</v>
      </c>
      <c r="E430" s="285">
        <v>290</v>
      </c>
      <c r="F430" s="297"/>
      <c r="G430" s="286">
        <v>1.0364</v>
      </c>
      <c r="H430" s="287">
        <f t="shared" si="58"/>
        <v>301</v>
      </c>
      <c r="I430" s="287">
        <f t="shared" si="54"/>
        <v>11</v>
      </c>
      <c r="J430" s="288">
        <f t="shared" si="52"/>
        <v>316</v>
      </c>
      <c r="K430" s="287">
        <f t="shared" si="55"/>
        <v>3.16</v>
      </c>
      <c r="L430" s="287">
        <f t="shared" si="56"/>
        <v>3.2</v>
      </c>
      <c r="M430" s="287">
        <f t="shared" si="57"/>
        <v>320</v>
      </c>
      <c r="N430" s="280">
        <v>320</v>
      </c>
      <c r="O430" s="289">
        <f t="shared" si="53"/>
        <v>1.0631229235880399</v>
      </c>
    </row>
    <row r="431" spans="1:15" s="232" customFormat="1" ht="16.95" customHeight="1">
      <c r="A431" s="277">
        <v>413</v>
      </c>
      <c r="B431" s="296"/>
      <c r="C431" s="279" t="s">
        <v>762</v>
      </c>
      <c r="D431" s="280">
        <v>1940</v>
      </c>
      <c r="E431" s="285">
        <v>580</v>
      </c>
      <c r="F431" s="297"/>
      <c r="G431" s="286">
        <v>1.0364</v>
      </c>
      <c r="H431" s="287">
        <f t="shared" si="58"/>
        <v>601</v>
      </c>
      <c r="I431" s="287">
        <f t="shared" si="54"/>
        <v>21</v>
      </c>
      <c r="J431" s="288">
        <f t="shared" si="52"/>
        <v>631</v>
      </c>
      <c r="K431" s="287">
        <f t="shared" si="55"/>
        <v>6.31</v>
      </c>
      <c r="L431" s="287">
        <f t="shared" si="56"/>
        <v>6.3</v>
      </c>
      <c r="M431" s="287">
        <f t="shared" si="57"/>
        <v>630</v>
      </c>
      <c r="N431" s="280">
        <v>630</v>
      </c>
      <c r="O431" s="289">
        <f t="shared" si="53"/>
        <v>1.0482529118136439</v>
      </c>
    </row>
    <row r="432" spans="1:15" s="232" customFormat="1" ht="16.95" customHeight="1">
      <c r="A432" s="277">
        <v>419</v>
      </c>
      <c r="B432" s="296"/>
      <c r="C432" s="279" t="s">
        <v>722</v>
      </c>
      <c r="D432" s="280">
        <v>350</v>
      </c>
      <c r="E432" s="285">
        <v>870</v>
      </c>
      <c r="F432" s="297"/>
      <c r="G432" s="286">
        <v>1.0364</v>
      </c>
      <c r="H432" s="287">
        <f t="shared" si="58"/>
        <v>902</v>
      </c>
      <c r="I432" s="287">
        <f t="shared" si="54"/>
        <v>32</v>
      </c>
      <c r="J432" s="288">
        <f t="shared" si="52"/>
        <v>947</v>
      </c>
      <c r="K432" s="287">
        <f t="shared" si="55"/>
        <v>9.4700000000000006</v>
      </c>
      <c r="L432" s="287">
        <f t="shared" si="56"/>
        <v>9.5</v>
      </c>
      <c r="M432" s="287">
        <f t="shared" si="57"/>
        <v>950</v>
      </c>
      <c r="N432" s="280">
        <v>950</v>
      </c>
      <c r="O432" s="289">
        <f t="shared" si="53"/>
        <v>1.0532150776053215</v>
      </c>
    </row>
    <row r="433" spans="1:15" s="232" customFormat="1" ht="16.95" customHeight="1">
      <c r="A433" s="277">
        <v>420</v>
      </c>
      <c r="B433" s="296"/>
      <c r="C433" s="279" t="s">
        <v>723</v>
      </c>
      <c r="D433" s="280">
        <v>690</v>
      </c>
      <c r="E433" s="285">
        <v>1740</v>
      </c>
      <c r="F433" s="297"/>
      <c r="G433" s="286">
        <v>1.0364</v>
      </c>
      <c r="H433" s="287">
        <f t="shared" si="58"/>
        <v>1803</v>
      </c>
      <c r="I433" s="287">
        <f t="shared" si="54"/>
        <v>63</v>
      </c>
      <c r="J433" s="288">
        <f t="shared" si="52"/>
        <v>1893</v>
      </c>
      <c r="K433" s="287">
        <f t="shared" si="55"/>
        <v>18.93</v>
      </c>
      <c r="L433" s="287">
        <f t="shared" si="56"/>
        <v>18.899999999999999</v>
      </c>
      <c r="M433" s="287">
        <f t="shared" si="57"/>
        <v>1889.9999999999998</v>
      </c>
      <c r="N433" s="280">
        <v>1889.9999999999998</v>
      </c>
      <c r="O433" s="289">
        <f t="shared" si="53"/>
        <v>1.0482529118136439</v>
      </c>
    </row>
    <row r="434" spans="1:15" s="232" customFormat="1" ht="16.95" customHeight="1">
      <c r="A434" s="277">
        <v>421</v>
      </c>
      <c r="B434" s="296"/>
      <c r="C434" s="279" t="s">
        <v>724</v>
      </c>
      <c r="D434" s="280">
        <v>1050</v>
      </c>
      <c r="E434" s="285">
        <v>1450</v>
      </c>
      <c r="F434" s="297"/>
      <c r="G434" s="286">
        <v>1.0364</v>
      </c>
      <c r="H434" s="287">
        <f t="shared" si="58"/>
        <v>1503</v>
      </c>
      <c r="I434" s="287">
        <f t="shared" si="54"/>
        <v>53</v>
      </c>
      <c r="J434" s="288">
        <f t="shared" si="52"/>
        <v>1578</v>
      </c>
      <c r="K434" s="287">
        <f t="shared" si="55"/>
        <v>15.78</v>
      </c>
      <c r="L434" s="287">
        <f t="shared" si="56"/>
        <v>15.8</v>
      </c>
      <c r="M434" s="287">
        <f t="shared" si="57"/>
        <v>1580</v>
      </c>
      <c r="N434" s="280">
        <v>1580</v>
      </c>
      <c r="O434" s="289">
        <f t="shared" si="53"/>
        <v>1.051230871590153</v>
      </c>
    </row>
    <row r="435" spans="1:15" s="232" customFormat="1" ht="16.95" customHeight="1">
      <c r="A435" s="277">
        <v>422</v>
      </c>
      <c r="B435" s="296"/>
      <c r="C435" s="279" t="s">
        <v>725</v>
      </c>
      <c r="D435" s="280">
        <v>2080</v>
      </c>
      <c r="E435" s="285">
        <v>435</v>
      </c>
      <c r="F435" s="297"/>
      <c r="G435" s="286">
        <v>1.0364</v>
      </c>
      <c r="H435" s="287">
        <f t="shared" si="58"/>
        <v>451</v>
      </c>
      <c r="I435" s="287">
        <f t="shared" si="54"/>
        <v>16</v>
      </c>
      <c r="J435" s="288">
        <f t="shared" si="52"/>
        <v>474</v>
      </c>
      <c r="K435" s="287">
        <f t="shared" si="55"/>
        <v>4.74</v>
      </c>
      <c r="L435" s="287">
        <f t="shared" si="56"/>
        <v>4.7</v>
      </c>
      <c r="M435" s="287">
        <f t="shared" si="57"/>
        <v>470</v>
      </c>
      <c r="N435" s="280">
        <v>470</v>
      </c>
      <c r="O435" s="289">
        <f t="shared" si="53"/>
        <v>1.042128603104213</v>
      </c>
    </row>
    <row r="436" spans="1:15" s="232" customFormat="1" ht="16.95" customHeight="1">
      <c r="A436" s="277">
        <v>423</v>
      </c>
      <c r="B436" s="296"/>
      <c r="C436" s="279" t="s">
        <v>726</v>
      </c>
      <c r="D436" s="280">
        <v>1740</v>
      </c>
      <c r="E436" s="285">
        <v>870</v>
      </c>
      <c r="F436" s="297"/>
      <c r="G436" s="286">
        <v>1.0364</v>
      </c>
      <c r="H436" s="287">
        <f t="shared" si="58"/>
        <v>902</v>
      </c>
      <c r="I436" s="287">
        <f t="shared" si="54"/>
        <v>32</v>
      </c>
      <c r="J436" s="288">
        <f t="shared" si="52"/>
        <v>947</v>
      </c>
      <c r="K436" s="287">
        <f t="shared" si="55"/>
        <v>9.4700000000000006</v>
      </c>
      <c r="L436" s="287">
        <f t="shared" si="56"/>
        <v>9.5</v>
      </c>
      <c r="M436" s="287">
        <f t="shared" si="57"/>
        <v>950</v>
      </c>
      <c r="N436" s="280">
        <v>950</v>
      </c>
      <c r="O436" s="289">
        <f t="shared" si="53"/>
        <v>1.0532150776053215</v>
      </c>
    </row>
    <row r="437" spans="1:15" s="232" customFormat="1" ht="16.95" customHeight="1">
      <c r="A437" s="277">
        <v>424</v>
      </c>
      <c r="B437" s="296"/>
      <c r="C437" s="279" t="s">
        <v>763</v>
      </c>
      <c r="D437" s="280">
        <v>520</v>
      </c>
      <c r="E437" s="285">
        <v>1450</v>
      </c>
      <c r="F437" s="297"/>
      <c r="G437" s="286">
        <v>1.0364</v>
      </c>
      <c r="H437" s="287">
        <f t="shared" si="58"/>
        <v>1503</v>
      </c>
      <c r="I437" s="287">
        <f t="shared" si="54"/>
        <v>53</v>
      </c>
      <c r="J437" s="288">
        <f t="shared" si="52"/>
        <v>1578</v>
      </c>
      <c r="K437" s="287">
        <f t="shared" si="55"/>
        <v>15.78</v>
      </c>
      <c r="L437" s="287">
        <f t="shared" si="56"/>
        <v>15.8</v>
      </c>
      <c r="M437" s="287">
        <f t="shared" si="57"/>
        <v>1580</v>
      </c>
      <c r="N437" s="280">
        <v>1580</v>
      </c>
      <c r="O437" s="289">
        <f t="shared" si="53"/>
        <v>1.051230871590153</v>
      </c>
    </row>
    <row r="438" spans="1:15" s="232" customFormat="1" ht="16.95" customHeight="1">
      <c r="A438" s="277">
        <v>425</v>
      </c>
      <c r="B438" s="296"/>
      <c r="C438" s="279" t="s">
        <v>764</v>
      </c>
      <c r="D438" s="280">
        <v>1050</v>
      </c>
      <c r="E438" s="285">
        <v>2610</v>
      </c>
      <c r="F438" s="297"/>
      <c r="G438" s="286">
        <v>1.0364</v>
      </c>
      <c r="H438" s="287">
        <f t="shared" si="58"/>
        <v>2705</v>
      </c>
      <c r="I438" s="287">
        <f t="shared" si="54"/>
        <v>95</v>
      </c>
      <c r="J438" s="288">
        <f t="shared" si="52"/>
        <v>2840</v>
      </c>
      <c r="K438" s="287">
        <f t="shared" si="55"/>
        <v>28.4</v>
      </c>
      <c r="L438" s="287">
        <f t="shared" si="56"/>
        <v>28.4</v>
      </c>
      <c r="M438" s="287">
        <f t="shared" si="57"/>
        <v>2840</v>
      </c>
      <c r="N438" s="280">
        <v>2840</v>
      </c>
      <c r="O438" s="289">
        <f t="shared" si="53"/>
        <v>1.0499075785582255</v>
      </c>
    </row>
    <row r="439" spans="1:15" s="232" customFormat="1" ht="16.95" customHeight="1">
      <c r="A439" s="277">
        <v>426</v>
      </c>
      <c r="B439" s="296"/>
      <c r="C439" s="279" t="s">
        <v>765</v>
      </c>
      <c r="D439" s="280">
        <v>1740</v>
      </c>
      <c r="E439" s="285">
        <v>2175</v>
      </c>
      <c r="F439" s="297"/>
      <c r="G439" s="286">
        <v>1.0364</v>
      </c>
      <c r="H439" s="287">
        <f t="shared" si="58"/>
        <v>2254</v>
      </c>
      <c r="I439" s="287">
        <f t="shared" si="54"/>
        <v>79</v>
      </c>
      <c r="J439" s="288">
        <f t="shared" si="52"/>
        <v>2367</v>
      </c>
      <c r="K439" s="287">
        <f t="shared" si="55"/>
        <v>23.67</v>
      </c>
      <c r="L439" s="287">
        <f t="shared" si="56"/>
        <v>23.7</v>
      </c>
      <c r="M439" s="287">
        <f t="shared" si="57"/>
        <v>2370</v>
      </c>
      <c r="N439" s="280">
        <v>2370</v>
      </c>
      <c r="O439" s="289">
        <f t="shared" si="53"/>
        <v>1.0514640638864241</v>
      </c>
    </row>
    <row r="440" spans="1:15" s="232" customFormat="1" ht="16.95" customHeight="1">
      <c r="A440" s="277">
        <v>427</v>
      </c>
      <c r="B440" s="296"/>
      <c r="C440" s="279" t="s">
        <v>766</v>
      </c>
      <c r="D440" s="280">
        <v>3120</v>
      </c>
      <c r="E440" s="285">
        <v>786</v>
      </c>
      <c r="F440" s="297"/>
      <c r="G440" s="286">
        <v>1.0364</v>
      </c>
      <c r="H440" s="287">
        <v>840</v>
      </c>
      <c r="I440" s="287">
        <f t="shared" si="54"/>
        <v>54</v>
      </c>
      <c r="J440" s="288">
        <f t="shared" si="52"/>
        <v>882</v>
      </c>
      <c r="K440" s="287">
        <f t="shared" si="55"/>
        <v>8.82</v>
      </c>
      <c r="L440" s="287">
        <f t="shared" si="56"/>
        <v>8.8000000000000007</v>
      </c>
      <c r="M440" s="287">
        <f t="shared" si="57"/>
        <v>880.00000000000011</v>
      </c>
      <c r="N440" s="280">
        <v>880.00000000000011</v>
      </c>
      <c r="O440" s="289">
        <f t="shared" si="53"/>
        <v>1.0476190476190477</v>
      </c>
    </row>
    <row r="441" spans="1:15" s="232" customFormat="1" ht="16.95" customHeight="1">
      <c r="A441" s="277">
        <v>428</v>
      </c>
      <c r="B441" s="296"/>
      <c r="C441" s="279" t="s">
        <v>767</v>
      </c>
      <c r="D441" s="280">
        <v>2610</v>
      </c>
      <c r="E441" s="285">
        <v>1572</v>
      </c>
      <c r="F441" s="297"/>
      <c r="G441" s="286">
        <v>1.0364</v>
      </c>
      <c r="H441" s="287">
        <v>1680</v>
      </c>
      <c r="I441" s="287">
        <f t="shared" si="54"/>
        <v>108</v>
      </c>
      <c r="J441" s="288">
        <f t="shared" si="52"/>
        <v>1764</v>
      </c>
      <c r="K441" s="287">
        <f t="shared" si="55"/>
        <v>17.64</v>
      </c>
      <c r="L441" s="287">
        <f t="shared" si="56"/>
        <v>17.600000000000001</v>
      </c>
      <c r="M441" s="287">
        <f t="shared" si="57"/>
        <v>1760.0000000000002</v>
      </c>
      <c r="N441" s="280">
        <v>1760.0000000000002</v>
      </c>
      <c r="O441" s="289">
        <f t="shared" si="53"/>
        <v>1.0476190476190477</v>
      </c>
    </row>
    <row r="442" spans="1:15" s="232" customFormat="1" ht="16.95" customHeight="1">
      <c r="A442" s="277">
        <v>434</v>
      </c>
      <c r="B442" s="296"/>
      <c r="C442" s="279" t="s">
        <v>727</v>
      </c>
      <c r="D442" s="280">
        <v>970</v>
      </c>
      <c r="E442" s="285">
        <v>2358</v>
      </c>
      <c r="F442" s="297"/>
      <c r="G442" s="286">
        <v>1.0364</v>
      </c>
      <c r="H442" s="287">
        <v>2520</v>
      </c>
      <c r="I442" s="287">
        <f t="shared" si="54"/>
        <v>162</v>
      </c>
      <c r="J442" s="288">
        <f t="shared" si="52"/>
        <v>2646</v>
      </c>
      <c r="K442" s="287">
        <f t="shared" si="55"/>
        <v>26.46</v>
      </c>
      <c r="L442" s="287">
        <f t="shared" si="56"/>
        <v>26.5</v>
      </c>
      <c r="M442" s="287">
        <f t="shared" si="57"/>
        <v>2650</v>
      </c>
      <c r="N442" s="280">
        <v>2650</v>
      </c>
      <c r="O442" s="289">
        <f t="shared" si="53"/>
        <v>1.0515873015873016</v>
      </c>
    </row>
    <row r="443" spans="1:15" s="232" customFormat="1" ht="16.95" customHeight="1">
      <c r="A443" s="277">
        <v>435</v>
      </c>
      <c r="B443" s="296"/>
      <c r="C443" s="279" t="s">
        <v>728</v>
      </c>
      <c r="D443" s="280">
        <v>1940</v>
      </c>
      <c r="E443" s="285">
        <v>4716</v>
      </c>
      <c r="F443" s="297"/>
      <c r="G443" s="286">
        <v>1.0364</v>
      </c>
      <c r="H443" s="287">
        <v>5040</v>
      </c>
      <c r="I443" s="287">
        <f t="shared" si="54"/>
        <v>324</v>
      </c>
      <c r="J443" s="288">
        <f t="shared" si="52"/>
        <v>5292</v>
      </c>
      <c r="K443" s="287">
        <f t="shared" si="55"/>
        <v>52.92</v>
      </c>
      <c r="L443" s="287">
        <f t="shared" si="56"/>
        <v>52.9</v>
      </c>
      <c r="M443" s="287">
        <f t="shared" si="57"/>
        <v>5290</v>
      </c>
      <c r="N443" s="280">
        <v>5290</v>
      </c>
      <c r="O443" s="289">
        <f t="shared" si="53"/>
        <v>1.0496031746031746</v>
      </c>
    </row>
    <row r="444" spans="1:15" s="232" customFormat="1" ht="16.95" customHeight="1">
      <c r="A444" s="277">
        <v>436</v>
      </c>
      <c r="B444" s="296"/>
      <c r="C444" s="279" t="s">
        <v>729</v>
      </c>
      <c r="D444" s="280">
        <v>2920</v>
      </c>
      <c r="E444" s="285">
        <v>3930</v>
      </c>
      <c r="F444" s="297"/>
      <c r="G444" s="286">
        <v>1.0364</v>
      </c>
      <c r="H444" s="287">
        <v>4200</v>
      </c>
      <c r="I444" s="287">
        <f t="shared" si="54"/>
        <v>270</v>
      </c>
      <c r="J444" s="288">
        <f t="shared" si="52"/>
        <v>4410</v>
      </c>
      <c r="K444" s="287">
        <f t="shared" si="55"/>
        <v>44.1</v>
      </c>
      <c r="L444" s="287">
        <f t="shared" si="56"/>
        <v>44.1</v>
      </c>
      <c r="M444" s="287">
        <f t="shared" si="57"/>
        <v>4410</v>
      </c>
      <c r="N444" s="280">
        <v>4410</v>
      </c>
      <c r="O444" s="289">
        <f t="shared" si="53"/>
        <v>1.05</v>
      </c>
    </row>
    <row r="445" spans="1:15" s="232" customFormat="1" ht="16.95" customHeight="1">
      <c r="A445" s="277">
        <v>437</v>
      </c>
      <c r="B445" s="296"/>
      <c r="C445" s="279" t="s">
        <v>730</v>
      </c>
      <c r="D445" s="280">
        <v>5820</v>
      </c>
      <c r="E445" s="285">
        <v>1179</v>
      </c>
      <c r="F445" s="297"/>
      <c r="G445" s="286">
        <v>1.0364</v>
      </c>
      <c r="H445" s="287">
        <v>1260</v>
      </c>
      <c r="I445" s="287">
        <f t="shared" si="54"/>
        <v>81</v>
      </c>
      <c r="J445" s="288">
        <f t="shared" si="52"/>
        <v>1323</v>
      </c>
      <c r="K445" s="287">
        <f t="shared" si="55"/>
        <v>13.23</v>
      </c>
      <c r="L445" s="287">
        <f t="shared" si="56"/>
        <v>13.2</v>
      </c>
      <c r="M445" s="287">
        <f t="shared" si="57"/>
        <v>1320</v>
      </c>
      <c r="N445" s="280">
        <v>1320</v>
      </c>
      <c r="O445" s="289">
        <f t="shared" si="53"/>
        <v>1.0476190476190477</v>
      </c>
    </row>
    <row r="446" spans="1:15" s="232" customFormat="1" ht="16.95" customHeight="1">
      <c r="A446" s="277">
        <v>438</v>
      </c>
      <c r="B446" s="296"/>
      <c r="C446" s="279" t="s">
        <v>731</v>
      </c>
      <c r="D446" s="280">
        <v>4850</v>
      </c>
      <c r="E446" s="285">
        <v>2358</v>
      </c>
      <c r="F446" s="297"/>
      <c r="G446" s="286">
        <v>1.0364</v>
      </c>
      <c r="H446" s="287">
        <v>2520</v>
      </c>
      <c r="I446" s="287">
        <f t="shared" si="54"/>
        <v>162</v>
      </c>
      <c r="J446" s="288">
        <f t="shared" si="52"/>
        <v>2646</v>
      </c>
      <c r="K446" s="287">
        <f t="shared" si="55"/>
        <v>26.46</v>
      </c>
      <c r="L446" s="287">
        <f t="shared" si="56"/>
        <v>26.5</v>
      </c>
      <c r="M446" s="287">
        <f t="shared" si="57"/>
        <v>2650</v>
      </c>
      <c r="N446" s="280">
        <v>2650</v>
      </c>
      <c r="O446" s="289">
        <f t="shared" si="53"/>
        <v>1.0515873015873016</v>
      </c>
    </row>
    <row r="447" spans="1:15" s="232" customFormat="1" ht="16.95" customHeight="1">
      <c r="A447" s="277">
        <v>439</v>
      </c>
      <c r="B447" s="296"/>
      <c r="C447" s="279" t="s">
        <v>768</v>
      </c>
      <c r="D447" s="280">
        <v>1450</v>
      </c>
      <c r="E447" s="285">
        <v>3930</v>
      </c>
      <c r="F447" s="297"/>
      <c r="G447" s="286">
        <v>1.0364</v>
      </c>
      <c r="H447" s="287">
        <v>4200</v>
      </c>
      <c r="I447" s="287">
        <f t="shared" si="54"/>
        <v>270</v>
      </c>
      <c r="J447" s="288">
        <f t="shared" si="52"/>
        <v>4410</v>
      </c>
      <c r="K447" s="287">
        <f t="shared" si="55"/>
        <v>44.1</v>
      </c>
      <c r="L447" s="287">
        <f t="shared" si="56"/>
        <v>44.1</v>
      </c>
      <c r="M447" s="287">
        <f t="shared" si="57"/>
        <v>4410</v>
      </c>
      <c r="N447" s="280">
        <v>4410</v>
      </c>
      <c r="O447" s="289">
        <f t="shared" si="53"/>
        <v>1.05</v>
      </c>
    </row>
    <row r="448" spans="1:15" s="232" customFormat="1" ht="16.95" customHeight="1">
      <c r="A448" s="277">
        <v>440</v>
      </c>
      <c r="B448" s="296"/>
      <c r="C448" s="279" t="s">
        <v>769</v>
      </c>
      <c r="D448" s="280">
        <v>2920</v>
      </c>
      <c r="E448" s="285">
        <v>7074</v>
      </c>
      <c r="F448" s="297"/>
      <c r="G448" s="286">
        <v>1.0364</v>
      </c>
      <c r="H448" s="287">
        <v>7560</v>
      </c>
      <c r="I448" s="287">
        <f t="shared" si="54"/>
        <v>486</v>
      </c>
      <c r="J448" s="288">
        <f t="shared" si="52"/>
        <v>7938</v>
      </c>
      <c r="K448" s="287">
        <f t="shared" si="55"/>
        <v>79.38</v>
      </c>
      <c r="L448" s="287">
        <f t="shared" si="56"/>
        <v>79.400000000000006</v>
      </c>
      <c r="M448" s="287">
        <f t="shared" si="57"/>
        <v>7940.0000000000009</v>
      </c>
      <c r="N448" s="280">
        <v>7940.0000000000009</v>
      </c>
      <c r="O448" s="289">
        <f t="shared" si="53"/>
        <v>1.0502645502645505</v>
      </c>
    </row>
    <row r="449" spans="1:15" s="232" customFormat="1" ht="16.95" customHeight="1">
      <c r="A449" s="277">
        <v>441</v>
      </c>
      <c r="B449" s="296"/>
      <c r="C449" s="279" t="s">
        <v>770</v>
      </c>
      <c r="D449" s="280">
        <v>4850</v>
      </c>
      <c r="E449" s="285">
        <v>5895</v>
      </c>
      <c r="F449" s="297"/>
      <c r="G449" s="286">
        <v>1.0364</v>
      </c>
      <c r="H449" s="287">
        <v>6300</v>
      </c>
      <c r="I449" s="287">
        <f t="shared" si="54"/>
        <v>405</v>
      </c>
      <c r="J449" s="288">
        <f t="shared" si="52"/>
        <v>6615</v>
      </c>
      <c r="K449" s="287">
        <f t="shared" si="55"/>
        <v>66.150000000000006</v>
      </c>
      <c r="L449" s="287">
        <f t="shared" si="56"/>
        <v>66.2</v>
      </c>
      <c r="M449" s="287">
        <f t="shared" si="57"/>
        <v>6620</v>
      </c>
      <c r="N449" s="280">
        <v>6620</v>
      </c>
      <c r="O449" s="289">
        <f t="shared" si="53"/>
        <v>1.0507936507936508</v>
      </c>
    </row>
    <row r="450" spans="1:15" s="232" customFormat="1" ht="16.95" customHeight="1">
      <c r="A450" s="277">
        <v>442</v>
      </c>
      <c r="B450" s="296"/>
      <c r="C450" s="279" t="s">
        <v>771</v>
      </c>
      <c r="D450" s="280">
        <v>8730</v>
      </c>
      <c r="E450" s="285">
        <v>328</v>
      </c>
      <c r="F450" s="297"/>
      <c r="G450" s="286">
        <v>1.0364</v>
      </c>
      <c r="H450" s="287">
        <f t="shared" ref="H450:H512" si="59">ROUND(E450*G450, 0)</f>
        <v>340</v>
      </c>
      <c r="I450" s="287">
        <f t="shared" si="54"/>
        <v>12</v>
      </c>
      <c r="J450" s="288">
        <f t="shared" si="52"/>
        <v>357</v>
      </c>
      <c r="K450" s="287">
        <f t="shared" si="55"/>
        <v>3.57</v>
      </c>
      <c r="L450" s="287">
        <f t="shared" si="56"/>
        <v>3.6</v>
      </c>
      <c r="M450" s="287">
        <f t="shared" si="57"/>
        <v>360</v>
      </c>
      <c r="N450" s="280">
        <v>360</v>
      </c>
      <c r="O450" s="289">
        <f t="shared" si="53"/>
        <v>1.0588235294117647</v>
      </c>
    </row>
    <row r="451" spans="1:15" s="232" customFormat="1" ht="16.95" customHeight="1">
      <c r="A451" s="277">
        <v>443</v>
      </c>
      <c r="B451" s="296"/>
      <c r="C451" s="279" t="s">
        <v>772</v>
      </c>
      <c r="D451" s="280">
        <v>7280</v>
      </c>
      <c r="E451" s="285">
        <v>656</v>
      </c>
      <c r="F451" s="297"/>
      <c r="G451" s="286">
        <v>1.0364</v>
      </c>
      <c r="H451" s="287">
        <f t="shared" si="59"/>
        <v>680</v>
      </c>
      <c r="I451" s="287">
        <f t="shared" si="54"/>
        <v>24</v>
      </c>
      <c r="J451" s="288">
        <f t="shared" si="52"/>
        <v>714</v>
      </c>
      <c r="K451" s="287">
        <f t="shared" si="55"/>
        <v>7.14</v>
      </c>
      <c r="L451" s="287">
        <f t="shared" si="56"/>
        <v>7.1</v>
      </c>
      <c r="M451" s="287">
        <f t="shared" si="57"/>
        <v>710</v>
      </c>
      <c r="N451" s="280">
        <v>710</v>
      </c>
      <c r="O451" s="289">
        <f t="shared" si="53"/>
        <v>1.0441176470588236</v>
      </c>
    </row>
    <row r="452" spans="1:15" s="232" customFormat="1" ht="16.95" customHeight="1">
      <c r="A452" s="277">
        <v>449</v>
      </c>
      <c r="B452" s="296"/>
      <c r="C452" s="279" t="s">
        <v>669</v>
      </c>
      <c r="D452" s="280">
        <v>400</v>
      </c>
      <c r="E452" s="285">
        <v>984</v>
      </c>
      <c r="F452" s="297"/>
      <c r="G452" s="286">
        <v>1.0364</v>
      </c>
      <c r="H452" s="287">
        <f t="shared" si="59"/>
        <v>1020</v>
      </c>
      <c r="I452" s="287">
        <f t="shared" si="54"/>
        <v>36</v>
      </c>
      <c r="J452" s="288">
        <f t="shared" si="52"/>
        <v>1071</v>
      </c>
      <c r="K452" s="287">
        <f t="shared" si="55"/>
        <v>10.71</v>
      </c>
      <c r="L452" s="287">
        <f t="shared" si="56"/>
        <v>10.7</v>
      </c>
      <c r="M452" s="287">
        <f t="shared" si="57"/>
        <v>1070</v>
      </c>
      <c r="N452" s="280">
        <v>1070</v>
      </c>
      <c r="O452" s="289">
        <f t="shared" si="53"/>
        <v>1.0490196078431373</v>
      </c>
    </row>
    <row r="453" spans="1:15" s="232" customFormat="1" ht="16.95" customHeight="1">
      <c r="A453" s="277">
        <v>450</v>
      </c>
      <c r="B453" s="296"/>
      <c r="C453" s="279" t="s">
        <v>732</v>
      </c>
      <c r="D453" s="280">
        <v>780</v>
      </c>
      <c r="E453" s="285">
        <v>1968</v>
      </c>
      <c r="F453" s="297"/>
      <c r="G453" s="286">
        <v>1.0364</v>
      </c>
      <c r="H453" s="287">
        <f t="shared" si="59"/>
        <v>2040</v>
      </c>
      <c r="I453" s="287">
        <f t="shared" si="54"/>
        <v>72</v>
      </c>
      <c r="J453" s="288">
        <f t="shared" si="52"/>
        <v>2142</v>
      </c>
      <c r="K453" s="287">
        <f t="shared" si="55"/>
        <v>21.42</v>
      </c>
      <c r="L453" s="287">
        <f t="shared" si="56"/>
        <v>21.4</v>
      </c>
      <c r="M453" s="287">
        <f t="shared" si="57"/>
        <v>2140</v>
      </c>
      <c r="N453" s="280">
        <v>2140</v>
      </c>
      <c r="O453" s="289">
        <f t="shared" si="53"/>
        <v>1.0490196078431373</v>
      </c>
    </row>
    <row r="454" spans="1:15" s="232" customFormat="1" ht="16.95" customHeight="1">
      <c r="A454" s="277">
        <v>451</v>
      </c>
      <c r="B454" s="296"/>
      <c r="C454" s="279" t="s">
        <v>733</v>
      </c>
      <c r="D454" s="280">
        <v>1180</v>
      </c>
      <c r="E454" s="285">
        <v>1640</v>
      </c>
      <c r="F454" s="297"/>
      <c r="G454" s="286">
        <v>1.0364</v>
      </c>
      <c r="H454" s="287">
        <f t="shared" si="59"/>
        <v>1700</v>
      </c>
      <c r="I454" s="287">
        <f t="shared" si="54"/>
        <v>60</v>
      </c>
      <c r="J454" s="288">
        <f t="shared" si="52"/>
        <v>1785</v>
      </c>
      <c r="K454" s="287">
        <f t="shared" si="55"/>
        <v>17.850000000000001</v>
      </c>
      <c r="L454" s="287">
        <f t="shared" si="56"/>
        <v>17.899999999999999</v>
      </c>
      <c r="M454" s="287">
        <f t="shared" si="57"/>
        <v>1789.9999999999998</v>
      </c>
      <c r="N454" s="280">
        <v>1789.9999999999998</v>
      </c>
      <c r="O454" s="289">
        <f t="shared" si="53"/>
        <v>1.052941176470588</v>
      </c>
    </row>
    <row r="455" spans="1:15" s="232" customFormat="1" ht="16.95" customHeight="1">
      <c r="A455" s="277">
        <v>452</v>
      </c>
      <c r="B455" s="296"/>
      <c r="C455" s="279" t="s">
        <v>734</v>
      </c>
      <c r="D455" s="280">
        <v>2350</v>
      </c>
      <c r="E455" s="285">
        <v>492</v>
      </c>
      <c r="F455" s="297"/>
      <c r="G455" s="286">
        <v>1.0364</v>
      </c>
      <c r="H455" s="287">
        <f t="shared" si="59"/>
        <v>510</v>
      </c>
      <c r="I455" s="287">
        <f t="shared" si="54"/>
        <v>18</v>
      </c>
      <c r="J455" s="288">
        <f t="shared" si="52"/>
        <v>536</v>
      </c>
      <c r="K455" s="287">
        <f t="shared" si="55"/>
        <v>5.36</v>
      </c>
      <c r="L455" s="287">
        <f t="shared" si="56"/>
        <v>5.4</v>
      </c>
      <c r="M455" s="287">
        <f t="shared" si="57"/>
        <v>540</v>
      </c>
      <c r="N455" s="280">
        <v>540</v>
      </c>
      <c r="O455" s="289">
        <f t="shared" si="53"/>
        <v>1.0588235294117647</v>
      </c>
    </row>
    <row r="456" spans="1:15" s="232" customFormat="1" ht="16.95" customHeight="1">
      <c r="A456" s="277">
        <v>453</v>
      </c>
      <c r="B456" s="296"/>
      <c r="C456" s="279" t="s">
        <v>735</v>
      </c>
      <c r="D456" s="280">
        <v>1970</v>
      </c>
      <c r="E456" s="285">
        <v>984</v>
      </c>
      <c r="F456" s="297"/>
      <c r="G456" s="286">
        <v>1.0364</v>
      </c>
      <c r="H456" s="287">
        <f t="shared" si="59"/>
        <v>1020</v>
      </c>
      <c r="I456" s="287">
        <f t="shared" si="54"/>
        <v>36</v>
      </c>
      <c r="J456" s="288">
        <f t="shared" si="52"/>
        <v>1071</v>
      </c>
      <c r="K456" s="287">
        <f t="shared" si="55"/>
        <v>10.71</v>
      </c>
      <c r="L456" s="287">
        <f t="shared" si="56"/>
        <v>10.7</v>
      </c>
      <c r="M456" s="287">
        <f t="shared" si="57"/>
        <v>1070</v>
      </c>
      <c r="N456" s="280">
        <v>1070</v>
      </c>
      <c r="O456" s="289">
        <f t="shared" si="53"/>
        <v>1.0490196078431373</v>
      </c>
    </row>
    <row r="457" spans="1:15" s="232" customFormat="1" ht="16.95" customHeight="1">
      <c r="A457" s="277">
        <v>454</v>
      </c>
      <c r="B457" s="296"/>
      <c r="C457" s="279" t="s">
        <v>773</v>
      </c>
      <c r="D457" s="280">
        <v>590</v>
      </c>
      <c r="E457" s="285">
        <v>1640</v>
      </c>
      <c r="F457" s="297"/>
      <c r="G457" s="286">
        <v>1.0364</v>
      </c>
      <c r="H457" s="287">
        <f t="shared" si="59"/>
        <v>1700</v>
      </c>
      <c r="I457" s="287">
        <f t="shared" si="54"/>
        <v>60</v>
      </c>
      <c r="J457" s="288">
        <f t="shared" si="52"/>
        <v>1785</v>
      </c>
      <c r="K457" s="287">
        <f t="shared" si="55"/>
        <v>17.850000000000001</v>
      </c>
      <c r="L457" s="287">
        <f t="shared" si="56"/>
        <v>17.899999999999999</v>
      </c>
      <c r="M457" s="287">
        <f t="shared" si="57"/>
        <v>1789.9999999999998</v>
      </c>
      <c r="N457" s="280">
        <v>1789.9999999999998</v>
      </c>
      <c r="O457" s="289">
        <f t="shared" si="53"/>
        <v>1.052941176470588</v>
      </c>
    </row>
    <row r="458" spans="1:15" s="232" customFormat="1" ht="16.95" customHeight="1">
      <c r="A458" s="277">
        <v>455</v>
      </c>
      <c r="B458" s="296"/>
      <c r="C458" s="279" t="s">
        <v>774</v>
      </c>
      <c r="D458" s="280">
        <v>1180</v>
      </c>
      <c r="E458" s="285">
        <v>2952</v>
      </c>
      <c r="F458" s="297"/>
      <c r="G458" s="286">
        <v>1.0364</v>
      </c>
      <c r="H458" s="287">
        <f t="shared" si="59"/>
        <v>3059</v>
      </c>
      <c r="I458" s="287">
        <f t="shared" si="54"/>
        <v>107</v>
      </c>
      <c r="J458" s="288">
        <f t="shared" si="52"/>
        <v>3212</v>
      </c>
      <c r="K458" s="287">
        <f t="shared" si="55"/>
        <v>32.119999999999997</v>
      </c>
      <c r="L458" s="287">
        <f t="shared" si="56"/>
        <v>32.1</v>
      </c>
      <c r="M458" s="287">
        <f t="shared" si="57"/>
        <v>3210</v>
      </c>
      <c r="N458" s="280">
        <v>3210</v>
      </c>
      <c r="O458" s="289">
        <f t="shared" si="53"/>
        <v>1.0493625367767245</v>
      </c>
    </row>
    <row r="459" spans="1:15" s="232" customFormat="1" ht="16.95" customHeight="1">
      <c r="A459" s="277">
        <v>456</v>
      </c>
      <c r="B459" s="296"/>
      <c r="C459" s="279" t="s">
        <v>775</v>
      </c>
      <c r="D459" s="280">
        <v>1970</v>
      </c>
      <c r="E459" s="285">
        <v>2460</v>
      </c>
      <c r="F459" s="297"/>
      <c r="G459" s="286">
        <v>1.0364</v>
      </c>
      <c r="H459" s="287">
        <f t="shared" si="59"/>
        <v>2550</v>
      </c>
      <c r="I459" s="287">
        <f t="shared" si="54"/>
        <v>90</v>
      </c>
      <c r="J459" s="288">
        <f t="shared" si="52"/>
        <v>2678</v>
      </c>
      <c r="K459" s="287">
        <f t="shared" si="55"/>
        <v>26.78</v>
      </c>
      <c r="L459" s="287">
        <f t="shared" si="56"/>
        <v>26.8</v>
      </c>
      <c r="M459" s="287">
        <f t="shared" si="57"/>
        <v>2680</v>
      </c>
      <c r="N459" s="280">
        <v>2680</v>
      </c>
      <c r="O459" s="289">
        <f t="shared" si="53"/>
        <v>1.0509803921568628</v>
      </c>
    </row>
    <row r="460" spans="1:15" s="232" customFormat="1" ht="16.95" customHeight="1">
      <c r="A460" s="277">
        <v>457</v>
      </c>
      <c r="B460" s="296"/>
      <c r="C460" s="279" t="s">
        <v>776</v>
      </c>
      <c r="D460" s="280">
        <v>3530</v>
      </c>
      <c r="E460" s="285">
        <v>320</v>
      </c>
      <c r="F460" s="297"/>
      <c r="G460" s="286">
        <v>1.0364</v>
      </c>
      <c r="H460" s="287">
        <f t="shared" si="59"/>
        <v>332</v>
      </c>
      <c r="I460" s="287">
        <f t="shared" si="54"/>
        <v>12</v>
      </c>
      <c r="J460" s="288">
        <f t="shared" si="52"/>
        <v>349</v>
      </c>
      <c r="K460" s="287">
        <f t="shared" si="55"/>
        <v>3.49</v>
      </c>
      <c r="L460" s="287">
        <f t="shared" si="56"/>
        <v>3.5</v>
      </c>
      <c r="M460" s="287">
        <f t="shared" si="57"/>
        <v>350</v>
      </c>
      <c r="N460" s="280">
        <v>350</v>
      </c>
      <c r="O460" s="289">
        <f t="shared" si="53"/>
        <v>1.0542168674698795</v>
      </c>
    </row>
    <row r="461" spans="1:15" s="232" customFormat="1" ht="16.95" customHeight="1">
      <c r="A461" s="277">
        <v>458</v>
      </c>
      <c r="B461" s="296"/>
      <c r="C461" s="279" t="s">
        <v>777</v>
      </c>
      <c r="D461" s="280">
        <v>2950</v>
      </c>
      <c r="E461" s="285">
        <v>640</v>
      </c>
      <c r="F461" s="297"/>
      <c r="G461" s="286">
        <v>1.0364</v>
      </c>
      <c r="H461" s="287">
        <f t="shared" si="59"/>
        <v>663</v>
      </c>
      <c r="I461" s="287">
        <f t="shared" si="54"/>
        <v>23</v>
      </c>
      <c r="J461" s="288">
        <f t="shared" si="52"/>
        <v>696</v>
      </c>
      <c r="K461" s="287">
        <f t="shared" si="55"/>
        <v>6.96</v>
      </c>
      <c r="L461" s="287">
        <f t="shared" si="56"/>
        <v>7</v>
      </c>
      <c r="M461" s="287">
        <f t="shared" si="57"/>
        <v>700</v>
      </c>
      <c r="N461" s="280">
        <v>700</v>
      </c>
      <c r="O461" s="289">
        <f t="shared" si="53"/>
        <v>1.0558069381598794</v>
      </c>
    </row>
    <row r="462" spans="1:15" s="232" customFormat="1" ht="16.95" customHeight="1">
      <c r="A462" s="277">
        <v>464</v>
      </c>
      <c r="B462" s="296"/>
      <c r="C462" s="279" t="s">
        <v>736</v>
      </c>
      <c r="D462" s="280">
        <v>390</v>
      </c>
      <c r="E462" s="285">
        <v>960</v>
      </c>
      <c r="F462" s="297"/>
      <c r="G462" s="286">
        <v>1.0364</v>
      </c>
      <c r="H462" s="287">
        <f t="shared" si="59"/>
        <v>995</v>
      </c>
      <c r="I462" s="287">
        <f t="shared" si="54"/>
        <v>35</v>
      </c>
      <c r="J462" s="288">
        <f t="shared" si="52"/>
        <v>1045</v>
      </c>
      <c r="K462" s="287">
        <f t="shared" si="55"/>
        <v>10.45</v>
      </c>
      <c r="L462" s="287">
        <f t="shared" si="56"/>
        <v>10.5</v>
      </c>
      <c r="M462" s="287">
        <f t="shared" si="57"/>
        <v>1050</v>
      </c>
      <c r="N462" s="280">
        <v>1050</v>
      </c>
      <c r="O462" s="289">
        <f t="shared" si="53"/>
        <v>1.0552763819095476</v>
      </c>
    </row>
    <row r="463" spans="1:15" s="232" customFormat="1" ht="16.95" customHeight="1">
      <c r="A463" s="277">
        <v>465</v>
      </c>
      <c r="B463" s="296"/>
      <c r="C463" s="279" t="s">
        <v>670</v>
      </c>
      <c r="D463" s="280">
        <v>770</v>
      </c>
      <c r="E463" s="285">
        <v>1920</v>
      </c>
      <c r="F463" s="297"/>
      <c r="G463" s="286">
        <v>1.0364</v>
      </c>
      <c r="H463" s="287">
        <f t="shared" si="59"/>
        <v>1990</v>
      </c>
      <c r="I463" s="287">
        <f t="shared" si="54"/>
        <v>70</v>
      </c>
      <c r="J463" s="288">
        <f t="shared" si="52"/>
        <v>2090</v>
      </c>
      <c r="K463" s="287">
        <f t="shared" si="55"/>
        <v>20.9</v>
      </c>
      <c r="L463" s="287">
        <f t="shared" si="56"/>
        <v>20.9</v>
      </c>
      <c r="M463" s="287">
        <f t="shared" si="57"/>
        <v>2090</v>
      </c>
      <c r="N463" s="280">
        <v>2090</v>
      </c>
      <c r="O463" s="289">
        <f t="shared" si="53"/>
        <v>1.050251256281407</v>
      </c>
    </row>
    <row r="464" spans="1:15" s="232" customFormat="1" ht="16.95" customHeight="1">
      <c r="A464" s="277">
        <v>466</v>
      </c>
      <c r="B464" s="296"/>
      <c r="C464" s="279" t="s">
        <v>671</v>
      </c>
      <c r="D464" s="280">
        <v>1160</v>
      </c>
      <c r="E464" s="285">
        <v>1600</v>
      </c>
      <c r="F464" s="297"/>
      <c r="G464" s="286">
        <v>1.0364</v>
      </c>
      <c r="H464" s="287">
        <f t="shared" si="59"/>
        <v>1658</v>
      </c>
      <c r="I464" s="287">
        <f t="shared" si="54"/>
        <v>58</v>
      </c>
      <c r="J464" s="288">
        <f t="shared" si="52"/>
        <v>1741</v>
      </c>
      <c r="K464" s="287">
        <f t="shared" si="55"/>
        <v>17.41</v>
      </c>
      <c r="L464" s="287">
        <f t="shared" si="56"/>
        <v>17.399999999999999</v>
      </c>
      <c r="M464" s="287">
        <f t="shared" si="57"/>
        <v>1739.9999999999998</v>
      </c>
      <c r="N464" s="280">
        <v>1739.9999999999998</v>
      </c>
      <c r="O464" s="289">
        <f t="shared" si="53"/>
        <v>1.0494571773220747</v>
      </c>
    </row>
    <row r="465" spans="1:15" s="232" customFormat="1" ht="16.95" customHeight="1">
      <c r="A465" s="277">
        <v>467</v>
      </c>
      <c r="B465" s="296"/>
      <c r="C465" s="279" t="s">
        <v>672</v>
      </c>
      <c r="D465" s="280">
        <v>2300</v>
      </c>
      <c r="E465" s="285">
        <v>480</v>
      </c>
      <c r="F465" s="297"/>
      <c r="G465" s="286">
        <v>1.0364</v>
      </c>
      <c r="H465" s="287">
        <f t="shared" si="59"/>
        <v>497</v>
      </c>
      <c r="I465" s="287">
        <f t="shared" si="54"/>
        <v>17</v>
      </c>
      <c r="J465" s="288">
        <f t="shared" si="52"/>
        <v>522</v>
      </c>
      <c r="K465" s="287">
        <f t="shared" si="55"/>
        <v>5.22</v>
      </c>
      <c r="L465" s="287">
        <f t="shared" si="56"/>
        <v>5.2</v>
      </c>
      <c r="M465" s="287">
        <f t="shared" si="57"/>
        <v>520</v>
      </c>
      <c r="N465" s="280">
        <v>520</v>
      </c>
      <c r="O465" s="289">
        <f t="shared" si="53"/>
        <v>1.0462776659959758</v>
      </c>
    </row>
    <row r="466" spans="1:15" s="232" customFormat="1" ht="16.95" customHeight="1">
      <c r="A466" s="277">
        <v>468</v>
      </c>
      <c r="B466" s="296"/>
      <c r="C466" s="279" t="s">
        <v>673</v>
      </c>
      <c r="D466" s="280">
        <v>1910</v>
      </c>
      <c r="E466" s="285">
        <v>960</v>
      </c>
      <c r="F466" s="297"/>
      <c r="G466" s="286">
        <v>1.0364</v>
      </c>
      <c r="H466" s="287">
        <f t="shared" si="59"/>
        <v>995</v>
      </c>
      <c r="I466" s="287">
        <f t="shared" si="54"/>
        <v>35</v>
      </c>
      <c r="J466" s="288">
        <f t="shared" si="52"/>
        <v>1045</v>
      </c>
      <c r="K466" s="287">
        <f t="shared" si="55"/>
        <v>10.45</v>
      </c>
      <c r="L466" s="287">
        <f t="shared" si="56"/>
        <v>10.5</v>
      </c>
      <c r="M466" s="287">
        <f t="shared" si="57"/>
        <v>1050</v>
      </c>
      <c r="N466" s="280">
        <v>1050</v>
      </c>
      <c r="O466" s="289">
        <f t="shared" si="53"/>
        <v>1.0552763819095476</v>
      </c>
    </row>
    <row r="467" spans="1:15" s="232" customFormat="1" ht="16.95" customHeight="1">
      <c r="A467" s="277">
        <v>469</v>
      </c>
      <c r="B467" s="296"/>
      <c r="C467" s="279" t="s">
        <v>778</v>
      </c>
      <c r="D467" s="280">
        <v>570</v>
      </c>
      <c r="E467" s="285">
        <v>1600</v>
      </c>
      <c r="F467" s="297"/>
      <c r="G467" s="286">
        <v>1.0364</v>
      </c>
      <c r="H467" s="287">
        <f t="shared" si="59"/>
        <v>1658</v>
      </c>
      <c r="I467" s="287">
        <f t="shared" si="54"/>
        <v>58</v>
      </c>
      <c r="J467" s="288">
        <f t="shared" si="52"/>
        <v>1741</v>
      </c>
      <c r="K467" s="287">
        <f t="shared" si="55"/>
        <v>17.41</v>
      </c>
      <c r="L467" s="287">
        <f t="shared" si="56"/>
        <v>17.399999999999999</v>
      </c>
      <c r="M467" s="287">
        <f t="shared" si="57"/>
        <v>1739.9999999999998</v>
      </c>
      <c r="N467" s="280">
        <v>1739.9999999999998</v>
      </c>
      <c r="O467" s="289">
        <f t="shared" si="53"/>
        <v>1.0494571773220747</v>
      </c>
    </row>
    <row r="468" spans="1:15" s="232" customFormat="1" ht="16.95" customHeight="1">
      <c r="A468" s="277">
        <v>470</v>
      </c>
      <c r="B468" s="296"/>
      <c r="C468" s="279" t="s">
        <v>779</v>
      </c>
      <c r="D468" s="280">
        <v>1160</v>
      </c>
      <c r="E468" s="285">
        <v>2880</v>
      </c>
      <c r="F468" s="297"/>
      <c r="G468" s="286">
        <v>1.0364</v>
      </c>
      <c r="H468" s="287">
        <f t="shared" si="59"/>
        <v>2985</v>
      </c>
      <c r="I468" s="287">
        <f t="shared" si="54"/>
        <v>105</v>
      </c>
      <c r="J468" s="288">
        <f t="shared" si="52"/>
        <v>3134</v>
      </c>
      <c r="K468" s="287">
        <f t="shared" si="55"/>
        <v>31.34</v>
      </c>
      <c r="L468" s="287">
        <f t="shared" si="56"/>
        <v>31.3</v>
      </c>
      <c r="M468" s="287">
        <f t="shared" si="57"/>
        <v>3130</v>
      </c>
      <c r="N468" s="280">
        <v>3130</v>
      </c>
      <c r="O468" s="289">
        <f t="shared" si="53"/>
        <v>1.0485762144053601</v>
      </c>
    </row>
    <row r="469" spans="1:15" s="232" customFormat="1" ht="16.95" customHeight="1">
      <c r="A469" s="277">
        <v>471</v>
      </c>
      <c r="B469" s="296"/>
      <c r="C469" s="279" t="s">
        <v>780</v>
      </c>
      <c r="D469" s="280">
        <v>1910</v>
      </c>
      <c r="E469" s="285">
        <v>2400</v>
      </c>
      <c r="F469" s="297"/>
      <c r="G469" s="286">
        <v>1.0364</v>
      </c>
      <c r="H469" s="287">
        <f t="shared" si="59"/>
        <v>2487</v>
      </c>
      <c r="I469" s="287">
        <f t="shared" si="54"/>
        <v>87</v>
      </c>
      <c r="J469" s="288">
        <f t="shared" si="52"/>
        <v>2611</v>
      </c>
      <c r="K469" s="287">
        <f t="shared" si="55"/>
        <v>26.11</v>
      </c>
      <c r="L469" s="287">
        <f t="shared" si="56"/>
        <v>26.1</v>
      </c>
      <c r="M469" s="287">
        <f t="shared" si="57"/>
        <v>2610</v>
      </c>
      <c r="N469" s="280">
        <v>2610</v>
      </c>
      <c r="O469" s="289">
        <f t="shared" si="53"/>
        <v>1.0494571773220749</v>
      </c>
    </row>
    <row r="470" spans="1:15" s="232" customFormat="1" ht="16.95" customHeight="1">
      <c r="A470" s="277">
        <v>472</v>
      </c>
      <c r="B470" s="296"/>
      <c r="C470" s="279" t="s">
        <v>781</v>
      </c>
      <c r="D470" s="280">
        <v>3440</v>
      </c>
      <c r="E470" s="285">
        <v>234</v>
      </c>
      <c r="F470" s="297"/>
      <c r="G470" s="286">
        <v>1.0364</v>
      </c>
      <c r="H470" s="287">
        <f t="shared" si="59"/>
        <v>243</v>
      </c>
      <c r="I470" s="287">
        <f t="shared" si="54"/>
        <v>9</v>
      </c>
      <c r="J470" s="288">
        <f t="shared" si="52"/>
        <v>255</v>
      </c>
      <c r="K470" s="287">
        <f t="shared" si="55"/>
        <v>2.5499999999999998</v>
      </c>
      <c r="L470" s="287">
        <f t="shared" si="56"/>
        <v>2.6</v>
      </c>
      <c r="M470" s="287">
        <f t="shared" si="57"/>
        <v>260</v>
      </c>
      <c r="N470" s="280">
        <v>260</v>
      </c>
      <c r="O470" s="289">
        <f t="shared" si="53"/>
        <v>1.0699588477366255</v>
      </c>
    </row>
    <row r="471" spans="1:15" s="232" customFormat="1" ht="16.95" customHeight="1">
      <c r="A471" s="277">
        <v>473</v>
      </c>
      <c r="B471" s="296"/>
      <c r="C471" s="279" t="s">
        <v>782</v>
      </c>
      <c r="D471" s="280">
        <v>2870</v>
      </c>
      <c r="E471" s="285">
        <v>468</v>
      </c>
      <c r="F471" s="297"/>
      <c r="G471" s="286">
        <v>1.0364</v>
      </c>
      <c r="H471" s="287">
        <f t="shared" si="59"/>
        <v>485</v>
      </c>
      <c r="I471" s="287">
        <f t="shared" si="54"/>
        <v>17</v>
      </c>
      <c r="J471" s="288">
        <f t="shared" si="52"/>
        <v>509</v>
      </c>
      <c r="K471" s="287">
        <f t="shared" si="55"/>
        <v>5.09</v>
      </c>
      <c r="L471" s="287">
        <f t="shared" si="56"/>
        <v>5.0999999999999996</v>
      </c>
      <c r="M471" s="287">
        <f t="shared" si="57"/>
        <v>509.99999999999994</v>
      </c>
      <c r="N471" s="280">
        <v>509.99999999999994</v>
      </c>
      <c r="O471" s="289">
        <f t="shared" si="53"/>
        <v>1.0515463917525771</v>
      </c>
    </row>
    <row r="472" spans="1:15" s="232" customFormat="1" ht="16.95" customHeight="1">
      <c r="A472" s="277">
        <v>479</v>
      </c>
      <c r="B472" s="296"/>
      <c r="C472" s="283" t="s">
        <v>813</v>
      </c>
      <c r="D472" s="280">
        <v>290</v>
      </c>
      <c r="E472" s="285">
        <v>702</v>
      </c>
      <c r="F472" s="297"/>
      <c r="G472" s="286">
        <v>1.0364</v>
      </c>
      <c r="H472" s="287">
        <f t="shared" si="59"/>
        <v>728</v>
      </c>
      <c r="I472" s="287">
        <f t="shared" si="54"/>
        <v>26</v>
      </c>
      <c r="J472" s="288">
        <f t="shared" si="52"/>
        <v>764</v>
      </c>
      <c r="K472" s="287">
        <f t="shared" si="55"/>
        <v>7.64</v>
      </c>
      <c r="L472" s="287">
        <f t="shared" si="56"/>
        <v>7.6</v>
      </c>
      <c r="M472" s="287">
        <f t="shared" si="57"/>
        <v>760</v>
      </c>
      <c r="N472" s="280">
        <v>760</v>
      </c>
      <c r="O472" s="289">
        <f t="shared" si="53"/>
        <v>1.043956043956044</v>
      </c>
    </row>
    <row r="473" spans="1:15" s="232" customFormat="1" ht="16.95" customHeight="1">
      <c r="A473" s="277">
        <v>480</v>
      </c>
      <c r="B473" s="296"/>
      <c r="C473" s="279" t="s">
        <v>674</v>
      </c>
      <c r="D473" s="280">
        <v>560</v>
      </c>
      <c r="E473" s="285">
        <v>1404</v>
      </c>
      <c r="F473" s="297"/>
      <c r="G473" s="286">
        <v>1.0364</v>
      </c>
      <c r="H473" s="287">
        <f t="shared" si="59"/>
        <v>1455</v>
      </c>
      <c r="I473" s="287">
        <f t="shared" si="54"/>
        <v>51</v>
      </c>
      <c r="J473" s="288">
        <f t="shared" si="52"/>
        <v>1528</v>
      </c>
      <c r="K473" s="287">
        <f t="shared" si="55"/>
        <v>15.28</v>
      </c>
      <c r="L473" s="287">
        <f t="shared" si="56"/>
        <v>15.3</v>
      </c>
      <c r="M473" s="287">
        <f t="shared" si="57"/>
        <v>1530</v>
      </c>
      <c r="N473" s="280">
        <v>1530</v>
      </c>
      <c r="O473" s="289">
        <f t="shared" si="53"/>
        <v>1.0515463917525774</v>
      </c>
    </row>
    <row r="474" spans="1:15" s="232" customFormat="1" ht="16.95" customHeight="1">
      <c r="A474" s="277">
        <v>481</v>
      </c>
      <c r="B474" s="296"/>
      <c r="C474" s="279" t="s">
        <v>675</v>
      </c>
      <c r="D474" s="280">
        <v>840</v>
      </c>
      <c r="E474" s="285">
        <v>1170</v>
      </c>
      <c r="F474" s="297"/>
      <c r="G474" s="286">
        <v>1.0364</v>
      </c>
      <c r="H474" s="287">
        <f t="shared" si="59"/>
        <v>1213</v>
      </c>
      <c r="I474" s="287">
        <f t="shared" si="54"/>
        <v>43</v>
      </c>
      <c r="J474" s="288">
        <f t="shared" si="52"/>
        <v>1274</v>
      </c>
      <c r="K474" s="287">
        <f t="shared" si="55"/>
        <v>12.74</v>
      </c>
      <c r="L474" s="287">
        <f t="shared" si="56"/>
        <v>12.7</v>
      </c>
      <c r="M474" s="287">
        <f t="shared" si="57"/>
        <v>1270</v>
      </c>
      <c r="N474" s="280">
        <v>1270</v>
      </c>
      <c r="O474" s="289">
        <f t="shared" si="53"/>
        <v>1.0469909315746084</v>
      </c>
    </row>
    <row r="475" spans="1:15" s="232" customFormat="1" ht="16.95" customHeight="1">
      <c r="A475" s="277">
        <v>482</v>
      </c>
      <c r="B475" s="296"/>
      <c r="C475" s="279" t="s">
        <v>676</v>
      </c>
      <c r="D475" s="280">
        <v>1680</v>
      </c>
      <c r="E475" s="285">
        <v>351</v>
      </c>
      <c r="F475" s="297"/>
      <c r="G475" s="286">
        <v>1.0364</v>
      </c>
      <c r="H475" s="287">
        <f t="shared" si="59"/>
        <v>364</v>
      </c>
      <c r="I475" s="287">
        <f t="shared" si="54"/>
        <v>13</v>
      </c>
      <c r="J475" s="288">
        <f t="shared" ref="J475:J537" si="60">ROUND(H475*1.05, 0)</f>
        <v>382</v>
      </c>
      <c r="K475" s="287">
        <f t="shared" si="55"/>
        <v>3.82</v>
      </c>
      <c r="L475" s="287">
        <f t="shared" si="56"/>
        <v>3.8</v>
      </c>
      <c r="M475" s="287">
        <f t="shared" si="57"/>
        <v>380</v>
      </c>
      <c r="N475" s="280">
        <v>380</v>
      </c>
      <c r="O475" s="289">
        <f t="shared" ref="O475:O537" si="61">N475/H475</f>
        <v>1.043956043956044</v>
      </c>
    </row>
    <row r="476" spans="1:15" s="232" customFormat="1" ht="16.95" customHeight="1">
      <c r="A476" s="277">
        <v>483</v>
      </c>
      <c r="B476" s="296"/>
      <c r="C476" s="279" t="s">
        <v>677</v>
      </c>
      <c r="D476" s="280">
        <v>1400</v>
      </c>
      <c r="E476" s="285">
        <v>702</v>
      </c>
      <c r="F476" s="297"/>
      <c r="G476" s="286">
        <v>1.0364</v>
      </c>
      <c r="H476" s="287">
        <f t="shared" si="59"/>
        <v>728</v>
      </c>
      <c r="I476" s="287">
        <f t="shared" ref="I476:I512" si="62">H476-E476</f>
        <v>26</v>
      </c>
      <c r="J476" s="288">
        <f t="shared" si="60"/>
        <v>764</v>
      </c>
      <c r="K476" s="287">
        <f t="shared" ref="K476:K537" si="63">J476/100</f>
        <v>7.64</v>
      </c>
      <c r="L476" s="287">
        <f t="shared" ref="L476:L537" si="64">ROUND(K476,1)</f>
        <v>7.6</v>
      </c>
      <c r="M476" s="287">
        <f t="shared" si="57"/>
        <v>760</v>
      </c>
      <c r="N476" s="280">
        <v>760</v>
      </c>
      <c r="O476" s="289">
        <f t="shared" si="61"/>
        <v>1.043956043956044</v>
      </c>
    </row>
    <row r="477" spans="1:15" s="232" customFormat="1" ht="16.95" customHeight="1">
      <c r="A477" s="277">
        <v>484</v>
      </c>
      <c r="B477" s="296"/>
      <c r="C477" s="279" t="s">
        <v>783</v>
      </c>
      <c r="D477" s="280">
        <v>420</v>
      </c>
      <c r="E477" s="285">
        <v>1170</v>
      </c>
      <c r="F477" s="297"/>
      <c r="G477" s="286">
        <v>1.0364</v>
      </c>
      <c r="H477" s="287">
        <f t="shared" si="59"/>
        <v>1213</v>
      </c>
      <c r="I477" s="287">
        <f t="shared" si="62"/>
        <v>43</v>
      </c>
      <c r="J477" s="288">
        <f t="shared" si="60"/>
        <v>1274</v>
      </c>
      <c r="K477" s="287">
        <f t="shared" si="63"/>
        <v>12.74</v>
      </c>
      <c r="L477" s="287">
        <f t="shared" si="64"/>
        <v>12.7</v>
      </c>
      <c r="M477" s="287">
        <f t="shared" ref="M477:M536" si="65">L477*100</f>
        <v>1270</v>
      </c>
      <c r="N477" s="280">
        <v>1270</v>
      </c>
      <c r="O477" s="289">
        <f t="shared" si="61"/>
        <v>1.0469909315746084</v>
      </c>
    </row>
    <row r="478" spans="1:15" s="232" customFormat="1" ht="16.95" customHeight="1">
      <c r="A478" s="277">
        <v>485</v>
      </c>
      <c r="B478" s="296"/>
      <c r="C478" s="279" t="s">
        <v>784</v>
      </c>
      <c r="D478" s="280">
        <v>840</v>
      </c>
      <c r="E478" s="285">
        <v>2106</v>
      </c>
      <c r="F478" s="297"/>
      <c r="G478" s="286">
        <v>1.0364</v>
      </c>
      <c r="H478" s="287">
        <f t="shared" si="59"/>
        <v>2183</v>
      </c>
      <c r="I478" s="287">
        <f t="shared" si="62"/>
        <v>77</v>
      </c>
      <c r="J478" s="288">
        <f t="shared" si="60"/>
        <v>2292</v>
      </c>
      <c r="K478" s="287">
        <f t="shared" si="63"/>
        <v>22.92</v>
      </c>
      <c r="L478" s="287">
        <f t="shared" si="64"/>
        <v>22.9</v>
      </c>
      <c r="M478" s="287">
        <f t="shared" si="65"/>
        <v>2290</v>
      </c>
      <c r="N478" s="280">
        <v>2290</v>
      </c>
      <c r="O478" s="289">
        <f t="shared" si="61"/>
        <v>1.049015116811727</v>
      </c>
    </row>
    <row r="479" spans="1:15" s="232" customFormat="1" ht="16.95" customHeight="1">
      <c r="A479" s="277">
        <v>486</v>
      </c>
      <c r="B479" s="296"/>
      <c r="C479" s="279" t="s">
        <v>785</v>
      </c>
      <c r="D479" s="280">
        <v>1400</v>
      </c>
      <c r="E479" s="285">
        <v>1755</v>
      </c>
      <c r="F479" s="297"/>
      <c r="G479" s="286">
        <v>1.0364</v>
      </c>
      <c r="H479" s="287">
        <f t="shared" si="59"/>
        <v>1819</v>
      </c>
      <c r="I479" s="287">
        <f t="shared" si="62"/>
        <v>64</v>
      </c>
      <c r="J479" s="288">
        <f t="shared" si="60"/>
        <v>1910</v>
      </c>
      <c r="K479" s="287">
        <f t="shared" si="63"/>
        <v>19.100000000000001</v>
      </c>
      <c r="L479" s="287">
        <f t="shared" si="64"/>
        <v>19.100000000000001</v>
      </c>
      <c r="M479" s="287">
        <f t="shared" si="65"/>
        <v>1910.0000000000002</v>
      </c>
      <c r="N479" s="280">
        <v>1910.0000000000002</v>
      </c>
      <c r="O479" s="289">
        <f t="shared" si="61"/>
        <v>1.0500274876305664</v>
      </c>
    </row>
    <row r="480" spans="1:15" s="232" customFormat="1" ht="16.95" customHeight="1">
      <c r="A480" s="277">
        <v>487</v>
      </c>
      <c r="B480" s="296"/>
      <c r="C480" s="279" t="s">
        <v>786</v>
      </c>
      <c r="D480" s="280">
        <v>2520</v>
      </c>
      <c r="E480" s="285">
        <v>164</v>
      </c>
      <c r="F480" s="297"/>
      <c r="G480" s="286">
        <v>1.0364</v>
      </c>
      <c r="H480" s="287">
        <f t="shared" si="59"/>
        <v>170</v>
      </c>
      <c r="I480" s="287">
        <f t="shared" si="62"/>
        <v>6</v>
      </c>
      <c r="J480" s="288">
        <f t="shared" si="60"/>
        <v>179</v>
      </c>
      <c r="K480" s="287">
        <f t="shared" si="63"/>
        <v>1.79</v>
      </c>
      <c r="L480" s="287">
        <f t="shared" si="64"/>
        <v>1.8</v>
      </c>
      <c r="M480" s="287">
        <f t="shared" si="65"/>
        <v>180</v>
      </c>
      <c r="N480" s="280">
        <v>180</v>
      </c>
      <c r="O480" s="289">
        <f t="shared" si="61"/>
        <v>1.0588235294117647</v>
      </c>
    </row>
    <row r="481" spans="1:15" s="232" customFormat="1" ht="16.95" customHeight="1">
      <c r="A481" s="277">
        <v>488</v>
      </c>
      <c r="B481" s="296"/>
      <c r="C481" s="279" t="s">
        <v>787</v>
      </c>
      <c r="D481" s="280">
        <v>2100</v>
      </c>
      <c r="E481" s="285">
        <v>328</v>
      </c>
      <c r="F481" s="297"/>
      <c r="G481" s="286">
        <v>1.0364</v>
      </c>
      <c r="H481" s="287">
        <f t="shared" si="59"/>
        <v>340</v>
      </c>
      <c r="I481" s="287">
        <f t="shared" si="62"/>
        <v>12</v>
      </c>
      <c r="J481" s="288">
        <f t="shared" si="60"/>
        <v>357</v>
      </c>
      <c r="K481" s="287">
        <f t="shared" si="63"/>
        <v>3.57</v>
      </c>
      <c r="L481" s="287">
        <f t="shared" si="64"/>
        <v>3.6</v>
      </c>
      <c r="M481" s="287">
        <f t="shared" si="65"/>
        <v>360</v>
      </c>
      <c r="N481" s="280">
        <v>360</v>
      </c>
      <c r="O481" s="289">
        <f t="shared" si="61"/>
        <v>1.0588235294117647</v>
      </c>
    </row>
    <row r="482" spans="1:15" s="232" customFormat="1" ht="16.95" customHeight="1">
      <c r="A482" s="277">
        <v>494</v>
      </c>
      <c r="B482" s="296"/>
      <c r="C482" s="279" t="s">
        <v>678</v>
      </c>
      <c r="D482" s="280">
        <v>200</v>
      </c>
      <c r="E482" s="285">
        <v>492</v>
      </c>
      <c r="F482" s="297"/>
      <c r="G482" s="286">
        <v>1.0364</v>
      </c>
      <c r="H482" s="287">
        <f t="shared" si="59"/>
        <v>510</v>
      </c>
      <c r="I482" s="287">
        <f t="shared" si="62"/>
        <v>18</v>
      </c>
      <c r="J482" s="288">
        <f t="shared" si="60"/>
        <v>536</v>
      </c>
      <c r="K482" s="287">
        <f t="shared" si="63"/>
        <v>5.36</v>
      </c>
      <c r="L482" s="287">
        <f t="shared" si="64"/>
        <v>5.4</v>
      </c>
      <c r="M482" s="287">
        <f t="shared" si="65"/>
        <v>540</v>
      </c>
      <c r="N482" s="280">
        <v>540</v>
      </c>
      <c r="O482" s="289">
        <f t="shared" si="61"/>
        <v>1.0588235294117647</v>
      </c>
    </row>
    <row r="483" spans="1:15" s="232" customFormat="1" ht="16.95" customHeight="1">
      <c r="A483" s="277">
        <v>495</v>
      </c>
      <c r="B483" s="296"/>
      <c r="C483" s="279" t="s">
        <v>679</v>
      </c>
      <c r="D483" s="280">
        <v>400</v>
      </c>
      <c r="E483" s="285">
        <v>984</v>
      </c>
      <c r="F483" s="297"/>
      <c r="G483" s="286">
        <v>1.0364</v>
      </c>
      <c r="H483" s="287">
        <f t="shared" si="59"/>
        <v>1020</v>
      </c>
      <c r="I483" s="287">
        <f t="shared" si="62"/>
        <v>36</v>
      </c>
      <c r="J483" s="288">
        <f t="shared" si="60"/>
        <v>1071</v>
      </c>
      <c r="K483" s="287">
        <f t="shared" si="63"/>
        <v>10.71</v>
      </c>
      <c r="L483" s="287">
        <f t="shared" si="64"/>
        <v>10.7</v>
      </c>
      <c r="M483" s="287">
        <f t="shared" si="65"/>
        <v>1070</v>
      </c>
      <c r="N483" s="280">
        <v>1070</v>
      </c>
      <c r="O483" s="289">
        <f t="shared" si="61"/>
        <v>1.0490196078431373</v>
      </c>
    </row>
    <row r="484" spans="1:15" s="232" customFormat="1" ht="16.95" customHeight="1">
      <c r="A484" s="277">
        <v>496</v>
      </c>
      <c r="B484" s="296"/>
      <c r="C484" s="279" t="s">
        <v>680</v>
      </c>
      <c r="D484" s="280">
        <v>590</v>
      </c>
      <c r="E484" s="285">
        <v>820</v>
      </c>
      <c r="F484" s="297"/>
      <c r="G484" s="286">
        <v>1.0364</v>
      </c>
      <c r="H484" s="287">
        <f t="shared" si="59"/>
        <v>850</v>
      </c>
      <c r="I484" s="287">
        <f t="shared" si="62"/>
        <v>30</v>
      </c>
      <c r="J484" s="288">
        <f t="shared" si="60"/>
        <v>893</v>
      </c>
      <c r="K484" s="287">
        <f t="shared" si="63"/>
        <v>8.93</v>
      </c>
      <c r="L484" s="287">
        <f t="shared" si="64"/>
        <v>8.9</v>
      </c>
      <c r="M484" s="287">
        <f t="shared" si="65"/>
        <v>890</v>
      </c>
      <c r="N484" s="280">
        <v>890</v>
      </c>
      <c r="O484" s="289">
        <f t="shared" si="61"/>
        <v>1.0470588235294118</v>
      </c>
    </row>
    <row r="485" spans="1:15" s="232" customFormat="1" ht="16.95" customHeight="1">
      <c r="A485" s="277">
        <v>497</v>
      </c>
      <c r="B485" s="296"/>
      <c r="C485" s="279" t="s">
        <v>681</v>
      </c>
      <c r="D485" s="280">
        <v>1180</v>
      </c>
      <c r="E485" s="285">
        <v>246</v>
      </c>
      <c r="F485" s="297"/>
      <c r="G485" s="286">
        <v>1.0364</v>
      </c>
      <c r="H485" s="287">
        <f t="shared" si="59"/>
        <v>255</v>
      </c>
      <c r="I485" s="287">
        <f t="shared" si="62"/>
        <v>9</v>
      </c>
      <c r="J485" s="288">
        <f t="shared" si="60"/>
        <v>268</v>
      </c>
      <c r="K485" s="287">
        <f t="shared" si="63"/>
        <v>2.68</v>
      </c>
      <c r="L485" s="287">
        <f t="shared" si="64"/>
        <v>2.7</v>
      </c>
      <c r="M485" s="287">
        <f t="shared" si="65"/>
        <v>270</v>
      </c>
      <c r="N485" s="280">
        <v>270</v>
      </c>
      <c r="O485" s="289">
        <f t="shared" si="61"/>
        <v>1.0588235294117647</v>
      </c>
    </row>
    <row r="486" spans="1:15" s="232" customFormat="1" ht="16.95" customHeight="1">
      <c r="A486" s="277">
        <v>498</v>
      </c>
      <c r="B486" s="296"/>
      <c r="C486" s="279" t="s">
        <v>682</v>
      </c>
      <c r="D486" s="280">
        <v>980</v>
      </c>
      <c r="E486" s="285">
        <v>492</v>
      </c>
      <c r="F486" s="297"/>
      <c r="G486" s="286">
        <v>1.0364</v>
      </c>
      <c r="H486" s="287">
        <f t="shared" si="59"/>
        <v>510</v>
      </c>
      <c r="I486" s="287">
        <f t="shared" si="62"/>
        <v>18</v>
      </c>
      <c r="J486" s="288">
        <f t="shared" si="60"/>
        <v>536</v>
      </c>
      <c r="K486" s="287">
        <f t="shared" si="63"/>
        <v>5.36</v>
      </c>
      <c r="L486" s="287">
        <f t="shared" si="64"/>
        <v>5.4</v>
      </c>
      <c r="M486" s="287">
        <f t="shared" si="65"/>
        <v>540</v>
      </c>
      <c r="N486" s="280">
        <v>540</v>
      </c>
      <c r="O486" s="289">
        <f t="shared" si="61"/>
        <v>1.0588235294117647</v>
      </c>
    </row>
    <row r="487" spans="1:15" s="232" customFormat="1" ht="16.95" customHeight="1">
      <c r="A487" s="277">
        <v>499</v>
      </c>
      <c r="B487" s="296"/>
      <c r="C487" s="279" t="s">
        <v>788</v>
      </c>
      <c r="D487" s="280">
        <v>300</v>
      </c>
      <c r="E487" s="285">
        <v>820</v>
      </c>
      <c r="F487" s="297"/>
      <c r="G487" s="286">
        <v>1.0364</v>
      </c>
      <c r="H487" s="287">
        <f t="shared" si="59"/>
        <v>850</v>
      </c>
      <c r="I487" s="287">
        <f t="shared" si="62"/>
        <v>30</v>
      </c>
      <c r="J487" s="288">
        <f t="shared" si="60"/>
        <v>893</v>
      </c>
      <c r="K487" s="287">
        <f t="shared" si="63"/>
        <v>8.93</v>
      </c>
      <c r="L487" s="287">
        <f t="shared" si="64"/>
        <v>8.9</v>
      </c>
      <c r="M487" s="287">
        <f t="shared" si="65"/>
        <v>890</v>
      </c>
      <c r="N487" s="280">
        <v>890</v>
      </c>
      <c r="O487" s="289">
        <f t="shared" si="61"/>
        <v>1.0470588235294118</v>
      </c>
    </row>
    <row r="488" spans="1:15" s="232" customFormat="1" ht="16.95" customHeight="1">
      <c r="A488" s="277">
        <v>500</v>
      </c>
      <c r="B488" s="296"/>
      <c r="C488" s="279" t="s">
        <v>789</v>
      </c>
      <c r="D488" s="280">
        <v>590</v>
      </c>
      <c r="E488" s="285">
        <v>1476</v>
      </c>
      <c r="F488" s="297"/>
      <c r="G488" s="286">
        <v>1.0364</v>
      </c>
      <c r="H488" s="287">
        <f t="shared" si="59"/>
        <v>1530</v>
      </c>
      <c r="I488" s="287">
        <f t="shared" si="62"/>
        <v>54</v>
      </c>
      <c r="J488" s="288">
        <f t="shared" si="60"/>
        <v>1607</v>
      </c>
      <c r="K488" s="287">
        <f t="shared" si="63"/>
        <v>16.07</v>
      </c>
      <c r="L488" s="287">
        <f t="shared" si="64"/>
        <v>16.100000000000001</v>
      </c>
      <c r="M488" s="287">
        <f t="shared" si="65"/>
        <v>1610.0000000000002</v>
      </c>
      <c r="N488" s="280">
        <v>1610.0000000000002</v>
      </c>
      <c r="O488" s="289">
        <f t="shared" si="61"/>
        <v>1.0522875816993467</v>
      </c>
    </row>
    <row r="489" spans="1:15" s="232" customFormat="1" ht="16.95" customHeight="1">
      <c r="A489" s="277">
        <v>501</v>
      </c>
      <c r="B489" s="296"/>
      <c r="C489" s="279" t="s">
        <v>790</v>
      </c>
      <c r="D489" s="280">
        <v>980</v>
      </c>
      <c r="E489" s="285">
        <v>1230</v>
      </c>
      <c r="F489" s="297"/>
      <c r="G489" s="286">
        <v>1.0364</v>
      </c>
      <c r="H489" s="287">
        <f t="shared" si="59"/>
        <v>1275</v>
      </c>
      <c r="I489" s="287">
        <f t="shared" si="62"/>
        <v>45</v>
      </c>
      <c r="J489" s="288">
        <f t="shared" si="60"/>
        <v>1339</v>
      </c>
      <c r="K489" s="287">
        <f t="shared" si="63"/>
        <v>13.39</v>
      </c>
      <c r="L489" s="287">
        <f t="shared" si="64"/>
        <v>13.4</v>
      </c>
      <c r="M489" s="287">
        <f t="shared" si="65"/>
        <v>1340</v>
      </c>
      <c r="N489" s="280">
        <v>1340</v>
      </c>
      <c r="O489" s="289">
        <f t="shared" si="61"/>
        <v>1.0509803921568628</v>
      </c>
    </row>
    <row r="490" spans="1:15" s="232" customFormat="1" ht="28.95" customHeight="1">
      <c r="A490" s="277">
        <v>502</v>
      </c>
      <c r="B490" s="296"/>
      <c r="C490" s="279" t="s">
        <v>791</v>
      </c>
      <c r="D490" s="280">
        <v>1770</v>
      </c>
      <c r="E490" s="285">
        <v>148</v>
      </c>
      <c r="F490" s="297"/>
      <c r="G490" s="286">
        <v>1.0364</v>
      </c>
      <c r="H490" s="287">
        <f t="shared" si="59"/>
        <v>153</v>
      </c>
      <c r="I490" s="287">
        <f t="shared" si="62"/>
        <v>5</v>
      </c>
      <c r="J490" s="288">
        <f t="shared" si="60"/>
        <v>161</v>
      </c>
      <c r="K490" s="287">
        <f t="shared" si="63"/>
        <v>1.61</v>
      </c>
      <c r="L490" s="287">
        <f t="shared" si="64"/>
        <v>1.6</v>
      </c>
      <c r="M490" s="287">
        <f t="shared" si="65"/>
        <v>160</v>
      </c>
      <c r="N490" s="280">
        <v>160</v>
      </c>
      <c r="O490" s="289">
        <f t="shared" si="61"/>
        <v>1.0457516339869282</v>
      </c>
    </row>
    <row r="491" spans="1:15" s="232" customFormat="1" ht="28.95" customHeight="1">
      <c r="A491" s="277">
        <v>503</v>
      </c>
      <c r="B491" s="296"/>
      <c r="C491" s="279" t="s">
        <v>792</v>
      </c>
      <c r="D491" s="280">
        <v>1470</v>
      </c>
      <c r="E491" s="285">
        <v>296</v>
      </c>
      <c r="F491" s="297"/>
      <c r="G491" s="286">
        <v>1.0364</v>
      </c>
      <c r="H491" s="287">
        <f t="shared" si="59"/>
        <v>307</v>
      </c>
      <c r="I491" s="287">
        <f t="shared" si="62"/>
        <v>11</v>
      </c>
      <c r="J491" s="288">
        <f t="shared" si="60"/>
        <v>322</v>
      </c>
      <c r="K491" s="287">
        <f t="shared" si="63"/>
        <v>3.22</v>
      </c>
      <c r="L491" s="287">
        <f t="shared" si="64"/>
        <v>3.2</v>
      </c>
      <c r="M491" s="287">
        <f t="shared" si="65"/>
        <v>320</v>
      </c>
      <c r="N491" s="280">
        <v>320</v>
      </c>
      <c r="O491" s="289">
        <f t="shared" si="61"/>
        <v>1.0423452768729642</v>
      </c>
    </row>
    <row r="492" spans="1:15" s="232" customFormat="1" ht="28.95" customHeight="1">
      <c r="A492" s="277">
        <v>509</v>
      </c>
      <c r="B492" s="298"/>
      <c r="C492" s="283" t="s">
        <v>683</v>
      </c>
      <c r="D492" s="280">
        <v>180</v>
      </c>
      <c r="E492" s="285">
        <v>444</v>
      </c>
      <c r="F492" s="297"/>
      <c r="G492" s="286">
        <v>1.0364</v>
      </c>
      <c r="H492" s="287">
        <f t="shared" si="59"/>
        <v>460</v>
      </c>
      <c r="I492" s="287">
        <f t="shared" si="62"/>
        <v>16</v>
      </c>
      <c r="J492" s="288">
        <f t="shared" si="60"/>
        <v>483</v>
      </c>
      <c r="K492" s="287">
        <f t="shared" si="63"/>
        <v>4.83</v>
      </c>
      <c r="L492" s="287">
        <f t="shared" si="64"/>
        <v>4.8</v>
      </c>
      <c r="M492" s="287">
        <f t="shared" si="65"/>
        <v>480</v>
      </c>
      <c r="N492" s="280">
        <v>480</v>
      </c>
      <c r="O492" s="289">
        <f t="shared" si="61"/>
        <v>1.0434782608695652</v>
      </c>
    </row>
    <row r="493" spans="1:15" s="232" customFormat="1" ht="28.95" customHeight="1">
      <c r="A493" s="277">
        <v>510</v>
      </c>
      <c r="B493" s="298"/>
      <c r="C493" s="283" t="s">
        <v>684</v>
      </c>
      <c r="D493" s="280">
        <v>350</v>
      </c>
      <c r="E493" s="285">
        <v>888</v>
      </c>
      <c r="F493" s="297"/>
      <c r="G493" s="286">
        <v>1.0364</v>
      </c>
      <c r="H493" s="287">
        <f t="shared" si="59"/>
        <v>920</v>
      </c>
      <c r="I493" s="287">
        <f t="shared" si="62"/>
        <v>32</v>
      </c>
      <c r="J493" s="288">
        <f t="shared" si="60"/>
        <v>966</v>
      </c>
      <c r="K493" s="287">
        <f t="shared" si="63"/>
        <v>9.66</v>
      </c>
      <c r="L493" s="287">
        <f t="shared" si="64"/>
        <v>9.6999999999999993</v>
      </c>
      <c r="M493" s="287">
        <f t="shared" si="65"/>
        <v>969.99999999999989</v>
      </c>
      <c r="N493" s="280">
        <v>969.99999999999989</v>
      </c>
      <c r="O493" s="289">
        <f t="shared" si="61"/>
        <v>1.0543478260869563</v>
      </c>
    </row>
    <row r="494" spans="1:15" s="232" customFormat="1" ht="28.95" customHeight="1">
      <c r="A494" s="277">
        <v>511</v>
      </c>
      <c r="B494" s="298"/>
      <c r="C494" s="283" t="s">
        <v>685</v>
      </c>
      <c r="D494" s="280">
        <v>530</v>
      </c>
      <c r="E494" s="285">
        <v>740</v>
      </c>
      <c r="F494" s="297"/>
      <c r="G494" s="286">
        <v>1.0364</v>
      </c>
      <c r="H494" s="287">
        <f t="shared" si="59"/>
        <v>767</v>
      </c>
      <c r="I494" s="287">
        <f t="shared" si="62"/>
        <v>27</v>
      </c>
      <c r="J494" s="288">
        <f t="shared" si="60"/>
        <v>805</v>
      </c>
      <c r="K494" s="287">
        <f t="shared" si="63"/>
        <v>8.0500000000000007</v>
      </c>
      <c r="L494" s="287">
        <f t="shared" si="64"/>
        <v>8.1</v>
      </c>
      <c r="M494" s="287">
        <f t="shared" si="65"/>
        <v>810</v>
      </c>
      <c r="N494" s="280">
        <v>810</v>
      </c>
      <c r="O494" s="289">
        <f t="shared" si="61"/>
        <v>1.0560625814863103</v>
      </c>
    </row>
    <row r="495" spans="1:15" s="232" customFormat="1" ht="28.95" customHeight="1">
      <c r="A495" s="277">
        <v>512</v>
      </c>
      <c r="B495" s="298"/>
      <c r="C495" s="283" t="s">
        <v>686</v>
      </c>
      <c r="D495" s="280">
        <v>1070</v>
      </c>
      <c r="E495" s="285">
        <v>222</v>
      </c>
      <c r="F495" s="297"/>
      <c r="G495" s="286">
        <v>1.0364</v>
      </c>
      <c r="H495" s="287">
        <f t="shared" si="59"/>
        <v>230</v>
      </c>
      <c r="I495" s="287">
        <f t="shared" si="62"/>
        <v>8</v>
      </c>
      <c r="J495" s="288">
        <f t="shared" si="60"/>
        <v>242</v>
      </c>
      <c r="K495" s="287">
        <f t="shared" si="63"/>
        <v>2.42</v>
      </c>
      <c r="L495" s="287">
        <f t="shared" si="64"/>
        <v>2.4</v>
      </c>
      <c r="M495" s="287">
        <f t="shared" si="65"/>
        <v>240</v>
      </c>
      <c r="N495" s="280">
        <v>240</v>
      </c>
      <c r="O495" s="289">
        <f t="shared" si="61"/>
        <v>1.0434782608695652</v>
      </c>
    </row>
    <row r="496" spans="1:15" s="232" customFormat="1" ht="28.95" customHeight="1">
      <c r="A496" s="277">
        <v>513</v>
      </c>
      <c r="B496" s="298"/>
      <c r="C496" s="283" t="s">
        <v>687</v>
      </c>
      <c r="D496" s="280">
        <v>890</v>
      </c>
      <c r="E496" s="285">
        <v>444</v>
      </c>
      <c r="F496" s="297"/>
      <c r="G496" s="286">
        <v>1.0364</v>
      </c>
      <c r="H496" s="287">
        <f t="shared" si="59"/>
        <v>460</v>
      </c>
      <c r="I496" s="287">
        <f t="shared" si="62"/>
        <v>16</v>
      </c>
      <c r="J496" s="288">
        <f t="shared" si="60"/>
        <v>483</v>
      </c>
      <c r="K496" s="287">
        <f t="shared" si="63"/>
        <v>4.83</v>
      </c>
      <c r="L496" s="287">
        <f t="shared" si="64"/>
        <v>4.8</v>
      </c>
      <c r="M496" s="287">
        <f t="shared" si="65"/>
        <v>480</v>
      </c>
      <c r="N496" s="280">
        <v>480</v>
      </c>
      <c r="O496" s="289">
        <f t="shared" si="61"/>
        <v>1.0434782608695652</v>
      </c>
    </row>
    <row r="497" spans="1:15" s="232" customFormat="1" ht="28.95" customHeight="1">
      <c r="A497" s="277">
        <v>514</v>
      </c>
      <c r="B497" s="298"/>
      <c r="C497" s="283" t="s">
        <v>793</v>
      </c>
      <c r="D497" s="280">
        <v>260</v>
      </c>
      <c r="E497" s="285">
        <v>740</v>
      </c>
      <c r="F497" s="297"/>
      <c r="G497" s="286">
        <v>1.0364</v>
      </c>
      <c r="H497" s="287">
        <f t="shared" si="59"/>
        <v>767</v>
      </c>
      <c r="I497" s="287">
        <f t="shared" si="62"/>
        <v>27</v>
      </c>
      <c r="J497" s="288">
        <f t="shared" si="60"/>
        <v>805</v>
      </c>
      <c r="K497" s="287">
        <f t="shared" si="63"/>
        <v>8.0500000000000007</v>
      </c>
      <c r="L497" s="287">
        <f t="shared" si="64"/>
        <v>8.1</v>
      </c>
      <c r="M497" s="287">
        <f t="shared" si="65"/>
        <v>810</v>
      </c>
      <c r="N497" s="280">
        <v>810</v>
      </c>
      <c r="O497" s="289">
        <f t="shared" si="61"/>
        <v>1.0560625814863103</v>
      </c>
    </row>
    <row r="498" spans="1:15" s="232" customFormat="1" ht="28.95" customHeight="1">
      <c r="A498" s="277">
        <v>515</v>
      </c>
      <c r="B498" s="298"/>
      <c r="C498" s="283" t="s">
        <v>794</v>
      </c>
      <c r="D498" s="280">
        <v>530</v>
      </c>
      <c r="E498" s="285">
        <v>1332</v>
      </c>
      <c r="F498" s="297"/>
      <c r="G498" s="286">
        <v>1.0364</v>
      </c>
      <c r="H498" s="287">
        <f t="shared" si="59"/>
        <v>1380</v>
      </c>
      <c r="I498" s="287">
        <f t="shared" si="62"/>
        <v>48</v>
      </c>
      <c r="J498" s="288">
        <f t="shared" si="60"/>
        <v>1449</v>
      </c>
      <c r="K498" s="287">
        <f t="shared" si="63"/>
        <v>14.49</v>
      </c>
      <c r="L498" s="287">
        <f t="shared" si="64"/>
        <v>14.5</v>
      </c>
      <c r="M498" s="287">
        <f t="shared" si="65"/>
        <v>1450</v>
      </c>
      <c r="N498" s="280">
        <v>1450</v>
      </c>
      <c r="O498" s="289">
        <f t="shared" si="61"/>
        <v>1.0507246376811594</v>
      </c>
    </row>
    <row r="499" spans="1:15" s="232" customFormat="1" ht="28.95" customHeight="1">
      <c r="A499" s="277">
        <v>516</v>
      </c>
      <c r="B499" s="298"/>
      <c r="C499" s="283" t="s">
        <v>795</v>
      </c>
      <c r="D499" s="280">
        <v>890</v>
      </c>
      <c r="E499" s="285">
        <v>1110</v>
      </c>
      <c r="F499" s="297"/>
      <c r="G499" s="286">
        <v>1.0364</v>
      </c>
      <c r="H499" s="287">
        <f t="shared" si="59"/>
        <v>1150</v>
      </c>
      <c r="I499" s="287">
        <f t="shared" si="62"/>
        <v>40</v>
      </c>
      <c r="J499" s="288">
        <f t="shared" si="60"/>
        <v>1208</v>
      </c>
      <c r="K499" s="287">
        <f t="shared" si="63"/>
        <v>12.08</v>
      </c>
      <c r="L499" s="287">
        <f t="shared" si="64"/>
        <v>12.1</v>
      </c>
      <c r="M499" s="287">
        <f t="shared" si="65"/>
        <v>1210</v>
      </c>
      <c r="N499" s="280">
        <v>1210</v>
      </c>
      <c r="O499" s="289">
        <f t="shared" si="61"/>
        <v>1.0521739130434782</v>
      </c>
    </row>
    <row r="500" spans="1:15" s="232" customFormat="1" ht="16.95" customHeight="1">
      <c r="A500" s="277">
        <v>517</v>
      </c>
      <c r="B500" s="298"/>
      <c r="C500" s="283" t="s">
        <v>796</v>
      </c>
      <c r="D500" s="280">
        <v>1600</v>
      </c>
      <c r="E500" s="285">
        <v>288</v>
      </c>
      <c r="G500" s="286">
        <v>1.0364</v>
      </c>
      <c r="H500" s="287">
        <f t="shared" si="59"/>
        <v>298</v>
      </c>
      <c r="I500" s="287">
        <f t="shared" si="62"/>
        <v>10</v>
      </c>
      <c r="J500" s="288">
        <f t="shared" si="60"/>
        <v>313</v>
      </c>
      <c r="K500" s="287">
        <f t="shared" si="63"/>
        <v>3.13</v>
      </c>
      <c r="L500" s="287">
        <f t="shared" si="64"/>
        <v>3.1</v>
      </c>
      <c r="M500" s="287">
        <f t="shared" si="65"/>
        <v>310</v>
      </c>
      <c r="N500" s="280">
        <v>310</v>
      </c>
      <c r="O500" s="289">
        <f t="shared" si="61"/>
        <v>1.0402684563758389</v>
      </c>
    </row>
    <row r="501" spans="1:15" s="232" customFormat="1" ht="16.95" customHeight="1">
      <c r="A501" s="277">
        <v>518</v>
      </c>
      <c r="B501" s="298"/>
      <c r="C501" s="283" t="s">
        <v>797</v>
      </c>
      <c r="D501" s="280">
        <v>1330</v>
      </c>
      <c r="E501" s="285">
        <v>576</v>
      </c>
      <c r="G501" s="286">
        <v>1.0364</v>
      </c>
      <c r="H501" s="287">
        <f t="shared" si="59"/>
        <v>597</v>
      </c>
      <c r="I501" s="287">
        <f t="shared" si="62"/>
        <v>21</v>
      </c>
      <c r="J501" s="288">
        <f t="shared" si="60"/>
        <v>627</v>
      </c>
      <c r="K501" s="287">
        <f t="shared" si="63"/>
        <v>6.27</v>
      </c>
      <c r="L501" s="287">
        <f t="shared" si="64"/>
        <v>6.3</v>
      </c>
      <c r="M501" s="287">
        <f t="shared" si="65"/>
        <v>630</v>
      </c>
      <c r="N501" s="280">
        <v>630</v>
      </c>
      <c r="O501" s="289">
        <f t="shared" si="61"/>
        <v>1.0552763819095476</v>
      </c>
    </row>
    <row r="502" spans="1:15" s="232" customFormat="1" ht="16.95" customHeight="1">
      <c r="A502" s="277">
        <v>524</v>
      </c>
      <c r="B502" s="278"/>
      <c r="C502" s="283" t="s">
        <v>688</v>
      </c>
      <c r="D502" s="280">
        <v>340</v>
      </c>
      <c r="E502" s="285">
        <v>864</v>
      </c>
      <c r="G502" s="286">
        <v>1.0364</v>
      </c>
      <c r="H502" s="287">
        <f t="shared" si="59"/>
        <v>895</v>
      </c>
      <c r="I502" s="287">
        <f t="shared" si="62"/>
        <v>31</v>
      </c>
      <c r="J502" s="288">
        <f t="shared" si="60"/>
        <v>940</v>
      </c>
      <c r="K502" s="287">
        <f t="shared" si="63"/>
        <v>9.4</v>
      </c>
      <c r="L502" s="287">
        <f t="shared" si="64"/>
        <v>9.4</v>
      </c>
      <c r="M502" s="287">
        <f t="shared" si="65"/>
        <v>940</v>
      </c>
      <c r="N502" s="280">
        <v>940</v>
      </c>
      <c r="O502" s="289">
        <f t="shared" si="61"/>
        <v>1.0502793296089385</v>
      </c>
    </row>
    <row r="503" spans="1:15" s="232" customFormat="1" ht="16.95" customHeight="1">
      <c r="A503" s="277">
        <v>525</v>
      </c>
      <c r="B503" s="278"/>
      <c r="C503" s="283" t="s">
        <v>689</v>
      </c>
      <c r="D503" s="280">
        <v>690</v>
      </c>
      <c r="E503" s="285">
        <v>1728</v>
      </c>
      <c r="G503" s="286">
        <v>1.0364</v>
      </c>
      <c r="H503" s="287">
        <f t="shared" si="59"/>
        <v>1791</v>
      </c>
      <c r="I503" s="287">
        <f t="shared" si="62"/>
        <v>63</v>
      </c>
      <c r="J503" s="288">
        <f t="shared" si="60"/>
        <v>1881</v>
      </c>
      <c r="K503" s="287">
        <f t="shared" si="63"/>
        <v>18.809999999999999</v>
      </c>
      <c r="L503" s="287">
        <f t="shared" si="64"/>
        <v>18.8</v>
      </c>
      <c r="M503" s="287">
        <f t="shared" si="65"/>
        <v>1880</v>
      </c>
      <c r="N503" s="280">
        <v>1880</v>
      </c>
      <c r="O503" s="289">
        <f t="shared" si="61"/>
        <v>1.0496929089893914</v>
      </c>
    </row>
    <row r="504" spans="1:15" s="232" customFormat="1" ht="16.95" customHeight="1">
      <c r="A504" s="277">
        <v>526</v>
      </c>
      <c r="B504" s="278"/>
      <c r="C504" s="283" t="s">
        <v>690</v>
      </c>
      <c r="D504" s="280">
        <v>1030</v>
      </c>
      <c r="E504" s="285">
        <v>1440</v>
      </c>
      <c r="G504" s="286">
        <v>1.0364</v>
      </c>
      <c r="H504" s="287">
        <f t="shared" si="59"/>
        <v>1492</v>
      </c>
      <c r="I504" s="287">
        <f t="shared" si="62"/>
        <v>52</v>
      </c>
      <c r="J504" s="288">
        <f t="shared" si="60"/>
        <v>1567</v>
      </c>
      <c r="K504" s="287">
        <f t="shared" si="63"/>
        <v>15.67</v>
      </c>
      <c r="L504" s="287">
        <f t="shared" si="64"/>
        <v>15.7</v>
      </c>
      <c r="M504" s="287">
        <f t="shared" si="65"/>
        <v>1570</v>
      </c>
      <c r="N504" s="280">
        <v>1570</v>
      </c>
      <c r="O504" s="289">
        <f t="shared" si="61"/>
        <v>1.052278820375335</v>
      </c>
    </row>
    <row r="505" spans="1:15" s="232" customFormat="1" ht="16.95" customHeight="1">
      <c r="A505" s="277">
        <v>527</v>
      </c>
      <c r="B505" s="278"/>
      <c r="C505" s="283" t="s">
        <v>691</v>
      </c>
      <c r="D505" s="280">
        <v>2070</v>
      </c>
      <c r="E505" s="285">
        <v>432</v>
      </c>
      <c r="G505" s="286">
        <v>1.0364</v>
      </c>
      <c r="H505" s="287">
        <f t="shared" si="59"/>
        <v>448</v>
      </c>
      <c r="I505" s="287">
        <f t="shared" si="62"/>
        <v>16</v>
      </c>
      <c r="J505" s="288">
        <f t="shared" si="60"/>
        <v>470</v>
      </c>
      <c r="K505" s="287">
        <f t="shared" si="63"/>
        <v>4.7</v>
      </c>
      <c r="L505" s="287">
        <f t="shared" si="64"/>
        <v>4.7</v>
      </c>
      <c r="M505" s="287">
        <f t="shared" si="65"/>
        <v>470</v>
      </c>
      <c r="N505" s="280">
        <v>470</v>
      </c>
      <c r="O505" s="289">
        <f t="shared" si="61"/>
        <v>1.0491071428571428</v>
      </c>
    </row>
    <row r="506" spans="1:15" s="232" customFormat="1" ht="16.95" customHeight="1">
      <c r="A506" s="277">
        <v>528</v>
      </c>
      <c r="B506" s="278"/>
      <c r="C506" s="283" t="s">
        <v>692</v>
      </c>
      <c r="D506" s="280">
        <v>1730</v>
      </c>
      <c r="E506" s="285">
        <v>864</v>
      </c>
      <c r="G506" s="286">
        <v>1.0364</v>
      </c>
      <c r="H506" s="287">
        <f t="shared" si="59"/>
        <v>895</v>
      </c>
      <c r="I506" s="287">
        <f t="shared" si="62"/>
        <v>31</v>
      </c>
      <c r="J506" s="288">
        <f t="shared" si="60"/>
        <v>940</v>
      </c>
      <c r="K506" s="287">
        <f t="shared" si="63"/>
        <v>9.4</v>
      </c>
      <c r="L506" s="287">
        <f t="shared" si="64"/>
        <v>9.4</v>
      </c>
      <c r="M506" s="287">
        <f t="shared" si="65"/>
        <v>940</v>
      </c>
      <c r="N506" s="280">
        <v>940</v>
      </c>
      <c r="O506" s="289">
        <f t="shared" si="61"/>
        <v>1.0502793296089385</v>
      </c>
    </row>
    <row r="507" spans="1:15" s="232" customFormat="1" ht="16.95" customHeight="1">
      <c r="A507" s="277">
        <v>529</v>
      </c>
      <c r="B507" s="278"/>
      <c r="C507" s="283" t="s">
        <v>798</v>
      </c>
      <c r="D507" s="280">
        <v>520</v>
      </c>
      <c r="E507" s="285">
        <v>1440</v>
      </c>
      <c r="G507" s="286">
        <v>1.0364</v>
      </c>
      <c r="H507" s="287">
        <f t="shared" si="59"/>
        <v>1492</v>
      </c>
      <c r="I507" s="287">
        <f t="shared" si="62"/>
        <v>52</v>
      </c>
      <c r="J507" s="288">
        <f t="shared" si="60"/>
        <v>1567</v>
      </c>
      <c r="K507" s="287">
        <f t="shared" si="63"/>
        <v>15.67</v>
      </c>
      <c r="L507" s="287">
        <f t="shared" si="64"/>
        <v>15.7</v>
      </c>
      <c r="M507" s="287">
        <f t="shared" si="65"/>
        <v>1570</v>
      </c>
      <c r="N507" s="280">
        <v>1570</v>
      </c>
      <c r="O507" s="289">
        <f t="shared" si="61"/>
        <v>1.052278820375335</v>
      </c>
    </row>
    <row r="508" spans="1:15" s="232" customFormat="1" ht="16.95" customHeight="1">
      <c r="A508" s="277">
        <v>530</v>
      </c>
      <c r="B508" s="278"/>
      <c r="C508" s="283" t="s">
        <v>799</v>
      </c>
      <c r="D508" s="280">
        <v>1030</v>
      </c>
      <c r="E508" s="285">
        <v>2592</v>
      </c>
      <c r="G508" s="286">
        <v>1.0364</v>
      </c>
      <c r="H508" s="287">
        <f t="shared" si="59"/>
        <v>2686</v>
      </c>
      <c r="I508" s="287">
        <f t="shared" si="62"/>
        <v>94</v>
      </c>
      <c r="J508" s="288">
        <f t="shared" si="60"/>
        <v>2820</v>
      </c>
      <c r="K508" s="287">
        <f t="shared" si="63"/>
        <v>28.2</v>
      </c>
      <c r="L508" s="287">
        <f t="shared" si="64"/>
        <v>28.2</v>
      </c>
      <c r="M508" s="287">
        <f t="shared" si="65"/>
        <v>2820</v>
      </c>
      <c r="N508" s="280">
        <v>2820</v>
      </c>
      <c r="O508" s="289">
        <f t="shared" si="61"/>
        <v>1.0498883097542815</v>
      </c>
    </row>
    <row r="509" spans="1:15" s="232" customFormat="1" ht="16.95" customHeight="1">
      <c r="A509" s="277">
        <v>531</v>
      </c>
      <c r="B509" s="278"/>
      <c r="C509" s="283" t="s">
        <v>800</v>
      </c>
      <c r="D509" s="280">
        <v>1730</v>
      </c>
      <c r="E509" s="285">
        <v>2160</v>
      </c>
      <c r="G509" s="286">
        <v>1.0364</v>
      </c>
      <c r="H509" s="287">
        <f t="shared" si="59"/>
        <v>2239</v>
      </c>
      <c r="I509" s="287">
        <f t="shared" si="62"/>
        <v>79</v>
      </c>
      <c r="J509" s="288">
        <f t="shared" si="60"/>
        <v>2351</v>
      </c>
      <c r="K509" s="287">
        <f t="shared" si="63"/>
        <v>23.51</v>
      </c>
      <c r="L509" s="287">
        <f t="shared" si="64"/>
        <v>23.5</v>
      </c>
      <c r="M509" s="287">
        <f t="shared" si="65"/>
        <v>2350</v>
      </c>
      <c r="N509" s="280">
        <v>2350</v>
      </c>
      <c r="O509" s="289">
        <f t="shared" si="61"/>
        <v>1.0495757034390354</v>
      </c>
    </row>
    <row r="510" spans="1:15" s="232" customFormat="1" ht="16.95" customHeight="1">
      <c r="A510" s="277">
        <v>532</v>
      </c>
      <c r="B510" s="278"/>
      <c r="C510" s="283" t="s">
        <v>801</v>
      </c>
      <c r="D510" s="280">
        <v>3100</v>
      </c>
      <c r="E510" s="285">
        <v>134</v>
      </c>
      <c r="G510" s="286">
        <v>1.0364</v>
      </c>
      <c r="H510" s="287">
        <f t="shared" si="59"/>
        <v>139</v>
      </c>
      <c r="I510" s="287">
        <f t="shared" si="62"/>
        <v>5</v>
      </c>
      <c r="J510" s="288">
        <f t="shared" si="60"/>
        <v>146</v>
      </c>
      <c r="K510" s="287">
        <f t="shared" si="63"/>
        <v>1.46</v>
      </c>
      <c r="L510" s="287">
        <f t="shared" si="64"/>
        <v>1.5</v>
      </c>
      <c r="M510" s="287">
        <f t="shared" si="65"/>
        <v>150</v>
      </c>
      <c r="N510" s="280">
        <v>150</v>
      </c>
      <c r="O510" s="289">
        <f t="shared" si="61"/>
        <v>1.079136690647482</v>
      </c>
    </row>
    <row r="511" spans="1:15" s="232" customFormat="1" ht="16.95" customHeight="1">
      <c r="A511" s="277">
        <v>533</v>
      </c>
      <c r="B511" s="278"/>
      <c r="C511" s="283" t="s">
        <v>802</v>
      </c>
      <c r="D511" s="280">
        <v>2590</v>
      </c>
      <c r="E511" s="285">
        <v>103</v>
      </c>
      <c r="G511" s="286">
        <v>1.0364</v>
      </c>
      <c r="H511" s="287">
        <f t="shared" si="59"/>
        <v>107</v>
      </c>
      <c r="I511" s="287">
        <f t="shared" si="62"/>
        <v>4</v>
      </c>
      <c r="J511" s="288">
        <f t="shared" si="60"/>
        <v>112</v>
      </c>
      <c r="K511" s="287">
        <f t="shared" si="63"/>
        <v>1.1200000000000001</v>
      </c>
      <c r="L511" s="287">
        <f t="shared" si="64"/>
        <v>1.1000000000000001</v>
      </c>
      <c r="M511" s="287">
        <f t="shared" si="65"/>
        <v>110.00000000000001</v>
      </c>
      <c r="N511" s="280">
        <v>110.00000000000001</v>
      </c>
      <c r="O511" s="289">
        <f t="shared" si="61"/>
        <v>1.0280373831775702</v>
      </c>
    </row>
    <row r="512" spans="1:15" s="232" customFormat="1" ht="43.2" customHeight="1">
      <c r="A512" s="277">
        <v>544</v>
      </c>
      <c r="B512" s="278"/>
      <c r="C512" s="283" t="s">
        <v>646</v>
      </c>
      <c r="D512" s="280">
        <v>170</v>
      </c>
      <c r="E512" s="299">
        <v>19900</v>
      </c>
      <c r="G512" s="300">
        <v>1.0364</v>
      </c>
      <c r="H512" s="301">
        <f t="shared" si="59"/>
        <v>20624</v>
      </c>
      <c r="I512" s="301">
        <f t="shared" si="62"/>
        <v>724</v>
      </c>
      <c r="J512" s="288">
        <f t="shared" si="60"/>
        <v>21655</v>
      </c>
      <c r="K512" s="287">
        <f t="shared" si="63"/>
        <v>216.55</v>
      </c>
      <c r="L512" s="287">
        <f t="shared" si="64"/>
        <v>216.6</v>
      </c>
      <c r="M512" s="287">
        <f t="shared" si="65"/>
        <v>21660</v>
      </c>
      <c r="N512" s="280">
        <v>31725</v>
      </c>
      <c r="O512" s="289">
        <f t="shared" si="61"/>
        <v>1.5382564003103181</v>
      </c>
    </row>
    <row r="513" spans="1:15" s="232" customFormat="1" ht="27.6" customHeight="1">
      <c r="A513" s="277">
        <v>545</v>
      </c>
      <c r="B513" s="278"/>
      <c r="C513" s="283" t="s">
        <v>575</v>
      </c>
      <c r="D513" s="280">
        <v>180</v>
      </c>
      <c r="E513" s="285"/>
      <c r="F513" s="302"/>
      <c r="G513" s="302"/>
      <c r="H513" s="287">
        <v>6400</v>
      </c>
      <c r="I513" s="287">
        <v>6400</v>
      </c>
      <c r="J513" s="288">
        <f t="shared" si="60"/>
        <v>6720</v>
      </c>
      <c r="K513" s="287">
        <f t="shared" si="63"/>
        <v>67.2</v>
      </c>
      <c r="L513" s="287">
        <f t="shared" si="64"/>
        <v>67.2</v>
      </c>
      <c r="M513" s="287">
        <f t="shared" si="65"/>
        <v>6720</v>
      </c>
      <c r="N513" s="280">
        <v>6720</v>
      </c>
      <c r="O513" s="289">
        <f t="shared" si="61"/>
        <v>1.05</v>
      </c>
    </row>
    <row r="514" spans="1:15" s="232" customFormat="1" ht="27.6" customHeight="1">
      <c r="A514" s="303">
        <v>546</v>
      </c>
      <c r="B514" s="304"/>
      <c r="C514" s="305" t="s">
        <v>647</v>
      </c>
      <c r="D514" s="280">
        <v>34900</v>
      </c>
      <c r="E514" s="285"/>
      <c r="F514" s="302"/>
      <c r="G514" s="302"/>
      <c r="H514" s="287"/>
      <c r="I514" s="287"/>
      <c r="J514" s="288"/>
      <c r="K514" s="287"/>
      <c r="L514" s="287"/>
      <c r="M514" s="287"/>
      <c r="N514" s="280">
        <v>840</v>
      </c>
      <c r="O514" s="289"/>
    </row>
    <row r="515" spans="1:15" s="232" customFormat="1" ht="16.95" customHeight="1">
      <c r="A515" s="277">
        <v>547</v>
      </c>
      <c r="B515" s="278"/>
      <c r="C515" s="283" t="s">
        <v>650</v>
      </c>
      <c r="D515" s="280">
        <v>7390</v>
      </c>
      <c r="E515" s="285"/>
      <c r="F515" s="297"/>
      <c r="G515" s="286"/>
      <c r="H515" s="287">
        <v>237</v>
      </c>
      <c r="I515" s="287"/>
      <c r="J515" s="288">
        <f t="shared" si="60"/>
        <v>249</v>
      </c>
      <c r="K515" s="287">
        <f t="shared" si="63"/>
        <v>2.4900000000000002</v>
      </c>
      <c r="L515" s="287">
        <f t="shared" si="64"/>
        <v>2.5</v>
      </c>
      <c r="M515" s="287">
        <f t="shared" si="65"/>
        <v>250</v>
      </c>
      <c r="N515" s="280">
        <v>250</v>
      </c>
      <c r="O515" s="289">
        <f t="shared" si="61"/>
        <v>1.0548523206751055</v>
      </c>
    </row>
    <row r="516" spans="1:15" s="232" customFormat="1" ht="16.95" customHeight="1">
      <c r="A516" s="277" t="s">
        <v>814</v>
      </c>
      <c r="B516" s="278" t="s">
        <v>815</v>
      </c>
      <c r="C516" s="283" t="s">
        <v>816</v>
      </c>
      <c r="D516" s="280">
        <v>920</v>
      </c>
      <c r="E516" s="285">
        <v>288</v>
      </c>
      <c r="F516" s="297"/>
      <c r="G516" s="286">
        <v>1.0364</v>
      </c>
      <c r="H516" s="287">
        <v>438</v>
      </c>
      <c r="I516" s="287"/>
      <c r="J516" s="288">
        <f t="shared" si="60"/>
        <v>460</v>
      </c>
      <c r="K516" s="287">
        <f t="shared" si="63"/>
        <v>4.5999999999999996</v>
      </c>
      <c r="L516" s="287">
        <f t="shared" si="64"/>
        <v>4.5999999999999996</v>
      </c>
      <c r="M516" s="287">
        <f t="shared" si="65"/>
        <v>459.99999999999994</v>
      </c>
      <c r="N516" s="280">
        <v>459.99999999999994</v>
      </c>
      <c r="O516" s="289">
        <f t="shared" si="61"/>
        <v>1.0502283105022829</v>
      </c>
    </row>
    <row r="517" spans="1:15" s="232" customFormat="1" ht="16.95" customHeight="1">
      <c r="A517" s="277">
        <v>548</v>
      </c>
      <c r="B517" s="296"/>
      <c r="C517" s="279" t="s">
        <v>656</v>
      </c>
      <c r="D517" s="280">
        <v>280</v>
      </c>
      <c r="E517" s="285">
        <v>576</v>
      </c>
      <c r="F517" s="297"/>
      <c r="G517" s="286">
        <v>1.0364</v>
      </c>
      <c r="H517" s="287">
        <v>876</v>
      </c>
      <c r="I517" s="287"/>
      <c r="J517" s="288">
        <f t="shared" si="60"/>
        <v>920</v>
      </c>
      <c r="K517" s="287">
        <f t="shared" si="63"/>
        <v>9.1999999999999993</v>
      </c>
      <c r="L517" s="287">
        <f t="shared" si="64"/>
        <v>9.1999999999999993</v>
      </c>
      <c r="M517" s="287">
        <f t="shared" si="65"/>
        <v>919.99999999999989</v>
      </c>
      <c r="N517" s="280">
        <v>919.99999999999989</v>
      </c>
      <c r="O517" s="289">
        <f t="shared" si="61"/>
        <v>1.0502283105022829</v>
      </c>
    </row>
    <row r="518" spans="1:15" s="232" customFormat="1" ht="16.95" customHeight="1">
      <c r="A518" s="277">
        <v>554</v>
      </c>
      <c r="B518" s="296"/>
      <c r="C518" s="279" t="s">
        <v>1002</v>
      </c>
      <c r="D518" s="280">
        <v>510</v>
      </c>
      <c r="E518" s="285">
        <v>864</v>
      </c>
      <c r="F518" s="297"/>
      <c r="G518" s="286">
        <v>1.0364</v>
      </c>
      <c r="H518" s="287">
        <v>1314</v>
      </c>
      <c r="I518" s="287"/>
      <c r="J518" s="288">
        <f t="shared" si="60"/>
        <v>1380</v>
      </c>
      <c r="K518" s="287">
        <f t="shared" si="63"/>
        <v>13.8</v>
      </c>
      <c r="L518" s="287">
        <f t="shared" si="64"/>
        <v>13.8</v>
      </c>
      <c r="M518" s="287">
        <f t="shared" si="65"/>
        <v>1380</v>
      </c>
      <c r="N518" s="280">
        <v>1380</v>
      </c>
      <c r="O518" s="289">
        <f t="shared" si="61"/>
        <v>1.0502283105022832</v>
      </c>
    </row>
    <row r="519" spans="1:15" s="232" customFormat="1" ht="16.95" customHeight="1">
      <c r="A519" s="277">
        <v>555</v>
      </c>
      <c r="B519" s="296"/>
      <c r="C519" s="279" t="s">
        <v>1003</v>
      </c>
      <c r="D519" s="280">
        <v>1010</v>
      </c>
      <c r="E519" s="285">
        <v>1728</v>
      </c>
      <c r="F519" s="297"/>
      <c r="G519" s="286">
        <v>1.0364</v>
      </c>
      <c r="H519" s="287">
        <v>2628</v>
      </c>
      <c r="I519" s="287"/>
      <c r="J519" s="288">
        <f t="shared" si="60"/>
        <v>2759</v>
      </c>
      <c r="K519" s="287">
        <f t="shared" si="63"/>
        <v>27.59</v>
      </c>
      <c r="L519" s="287">
        <f t="shared" si="64"/>
        <v>27.6</v>
      </c>
      <c r="M519" s="287">
        <f t="shared" si="65"/>
        <v>2760</v>
      </c>
      <c r="N519" s="280">
        <v>2760</v>
      </c>
      <c r="O519" s="289">
        <f t="shared" si="61"/>
        <v>1.0502283105022832</v>
      </c>
    </row>
    <row r="520" spans="1:15" s="232" customFormat="1" ht="16.95" customHeight="1">
      <c r="A520" s="277">
        <v>556</v>
      </c>
      <c r="B520" s="296"/>
      <c r="C520" s="279" t="s">
        <v>1004</v>
      </c>
      <c r="D520" s="280">
        <v>1520</v>
      </c>
      <c r="E520" s="285">
        <v>1440</v>
      </c>
      <c r="F520" s="297"/>
      <c r="G520" s="286">
        <v>1.0364</v>
      </c>
      <c r="H520" s="287">
        <v>2190</v>
      </c>
      <c r="I520" s="287"/>
      <c r="J520" s="288">
        <f t="shared" si="60"/>
        <v>2300</v>
      </c>
      <c r="K520" s="287">
        <f t="shared" si="63"/>
        <v>23</v>
      </c>
      <c r="L520" s="287">
        <f t="shared" si="64"/>
        <v>23</v>
      </c>
      <c r="M520" s="287">
        <f t="shared" si="65"/>
        <v>2300</v>
      </c>
      <c r="N520" s="280">
        <v>2300</v>
      </c>
      <c r="O520" s="289">
        <f t="shared" si="61"/>
        <v>1.0502283105022832</v>
      </c>
    </row>
    <row r="521" spans="1:15" s="232" customFormat="1" ht="16.95" customHeight="1">
      <c r="A521" s="277">
        <v>557</v>
      </c>
      <c r="B521" s="296"/>
      <c r="C521" s="279" t="s">
        <v>1005</v>
      </c>
      <c r="D521" s="280">
        <v>3040</v>
      </c>
      <c r="E521" s="285">
        <v>432</v>
      </c>
      <c r="F521" s="297"/>
      <c r="G521" s="286">
        <v>1.0364</v>
      </c>
      <c r="H521" s="287">
        <v>657</v>
      </c>
      <c r="I521" s="287"/>
      <c r="J521" s="288">
        <f t="shared" si="60"/>
        <v>690</v>
      </c>
      <c r="K521" s="287">
        <f t="shared" si="63"/>
        <v>6.9</v>
      </c>
      <c r="L521" s="287">
        <f t="shared" si="64"/>
        <v>6.9</v>
      </c>
      <c r="M521" s="287">
        <f t="shared" si="65"/>
        <v>690</v>
      </c>
      <c r="N521" s="280">
        <v>690</v>
      </c>
      <c r="O521" s="289">
        <f t="shared" si="61"/>
        <v>1.0502283105022832</v>
      </c>
    </row>
    <row r="522" spans="1:15" s="232" customFormat="1" ht="16.95" customHeight="1">
      <c r="A522" s="277">
        <v>558</v>
      </c>
      <c r="B522" s="296"/>
      <c r="C522" s="279" t="s">
        <v>1006</v>
      </c>
      <c r="D522" s="280">
        <v>2530</v>
      </c>
      <c r="E522" s="285">
        <v>864</v>
      </c>
      <c r="F522" s="297"/>
      <c r="G522" s="286">
        <v>1.0364</v>
      </c>
      <c r="H522" s="287">
        <v>1314</v>
      </c>
      <c r="I522" s="287"/>
      <c r="J522" s="288">
        <f t="shared" si="60"/>
        <v>1380</v>
      </c>
      <c r="K522" s="287">
        <f t="shared" si="63"/>
        <v>13.8</v>
      </c>
      <c r="L522" s="287">
        <f t="shared" si="64"/>
        <v>13.8</v>
      </c>
      <c r="M522" s="287">
        <f t="shared" si="65"/>
        <v>1380</v>
      </c>
      <c r="N522" s="280">
        <v>1380</v>
      </c>
      <c r="O522" s="289">
        <f t="shared" si="61"/>
        <v>1.0502283105022832</v>
      </c>
    </row>
    <row r="523" spans="1:15" s="232" customFormat="1" ht="16.95" customHeight="1">
      <c r="A523" s="277">
        <v>559</v>
      </c>
      <c r="B523" s="296"/>
      <c r="C523" s="279" t="s">
        <v>1007</v>
      </c>
      <c r="D523" s="280">
        <v>760</v>
      </c>
      <c r="E523" s="285">
        <v>1440</v>
      </c>
      <c r="F523" s="297"/>
      <c r="G523" s="286">
        <v>1.0364</v>
      </c>
      <c r="H523" s="287">
        <v>2190</v>
      </c>
      <c r="I523" s="287"/>
      <c r="J523" s="288">
        <f t="shared" si="60"/>
        <v>2300</v>
      </c>
      <c r="K523" s="287">
        <f t="shared" si="63"/>
        <v>23</v>
      </c>
      <c r="L523" s="287">
        <f t="shared" si="64"/>
        <v>23</v>
      </c>
      <c r="M523" s="287">
        <f t="shared" si="65"/>
        <v>2300</v>
      </c>
      <c r="N523" s="280">
        <v>2300</v>
      </c>
      <c r="O523" s="289">
        <f t="shared" si="61"/>
        <v>1.0502283105022832</v>
      </c>
    </row>
    <row r="524" spans="1:15" s="232" customFormat="1" ht="16.95" customHeight="1">
      <c r="A524" s="277">
        <v>560</v>
      </c>
      <c r="B524" s="296"/>
      <c r="C524" s="279" t="s">
        <v>1008</v>
      </c>
      <c r="D524" s="280">
        <v>1520</v>
      </c>
      <c r="E524" s="285">
        <v>2592</v>
      </c>
      <c r="F524" s="297"/>
      <c r="G524" s="286">
        <v>1.0364</v>
      </c>
      <c r="H524" s="287">
        <v>3942</v>
      </c>
      <c r="I524" s="287"/>
      <c r="J524" s="288">
        <f t="shared" si="60"/>
        <v>4139</v>
      </c>
      <c r="K524" s="287">
        <f t="shared" si="63"/>
        <v>41.39</v>
      </c>
      <c r="L524" s="287">
        <f t="shared" si="64"/>
        <v>41.4</v>
      </c>
      <c r="M524" s="287">
        <f t="shared" si="65"/>
        <v>4140</v>
      </c>
      <c r="N524" s="280">
        <v>4140</v>
      </c>
      <c r="O524" s="289">
        <f t="shared" si="61"/>
        <v>1.0502283105022832</v>
      </c>
    </row>
    <row r="525" spans="1:15" s="232" customFormat="1" ht="16.95" customHeight="1">
      <c r="A525" s="277">
        <v>561</v>
      </c>
      <c r="B525" s="296"/>
      <c r="C525" s="279" t="s">
        <v>1009</v>
      </c>
      <c r="D525" s="280">
        <v>2530</v>
      </c>
      <c r="E525" s="285">
        <v>2160</v>
      </c>
      <c r="F525" s="297"/>
      <c r="G525" s="286">
        <v>1.0364</v>
      </c>
      <c r="H525" s="287">
        <v>3285</v>
      </c>
      <c r="I525" s="287"/>
      <c r="J525" s="288">
        <f t="shared" si="60"/>
        <v>3449</v>
      </c>
      <c r="K525" s="287">
        <f t="shared" si="63"/>
        <v>34.49</v>
      </c>
      <c r="L525" s="287">
        <f t="shared" si="64"/>
        <v>34.5</v>
      </c>
      <c r="M525" s="287">
        <f t="shared" si="65"/>
        <v>3450</v>
      </c>
      <c r="N525" s="280">
        <v>3450</v>
      </c>
      <c r="O525" s="289">
        <f t="shared" si="61"/>
        <v>1.0502283105022832</v>
      </c>
    </row>
    <row r="526" spans="1:15" s="232" customFormat="1" ht="16.95" customHeight="1">
      <c r="A526" s="277">
        <v>562</v>
      </c>
      <c r="B526" s="296"/>
      <c r="C526" s="279" t="s">
        <v>1010</v>
      </c>
      <c r="D526" s="280">
        <v>4550</v>
      </c>
      <c r="E526" s="285"/>
      <c r="F526" s="297"/>
      <c r="G526" s="286"/>
      <c r="H526" s="287">
        <v>876</v>
      </c>
      <c r="I526" s="287"/>
      <c r="J526" s="288">
        <f t="shared" si="60"/>
        <v>920</v>
      </c>
      <c r="K526" s="287">
        <f t="shared" si="63"/>
        <v>9.1999999999999993</v>
      </c>
      <c r="L526" s="287">
        <f t="shared" si="64"/>
        <v>9.1999999999999993</v>
      </c>
      <c r="M526" s="287">
        <f t="shared" si="65"/>
        <v>919.99999999999989</v>
      </c>
      <c r="N526" s="280">
        <v>919.99999999999989</v>
      </c>
      <c r="O526" s="289">
        <f t="shared" si="61"/>
        <v>1.0502283105022829</v>
      </c>
    </row>
    <row r="527" spans="1:15" s="232" customFormat="1" ht="16.95" customHeight="1">
      <c r="A527" s="277">
        <v>563</v>
      </c>
      <c r="B527" s="296"/>
      <c r="C527" s="279" t="s">
        <v>1011</v>
      </c>
      <c r="D527" s="280">
        <v>3800</v>
      </c>
      <c r="E527" s="285"/>
      <c r="F527" s="297"/>
      <c r="G527" s="286"/>
      <c r="H527" s="287">
        <v>1752</v>
      </c>
      <c r="I527" s="287"/>
      <c r="J527" s="288">
        <f t="shared" si="60"/>
        <v>1840</v>
      </c>
      <c r="K527" s="287">
        <f t="shared" si="63"/>
        <v>18.399999999999999</v>
      </c>
      <c r="L527" s="287">
        <f t="shared" si="64"/>
        <v>18.399999999999999</v>
      </c>
      <c r="M527" s="287">
        <f t="shared" si="65"/>
        <v>1839.9999999999998</v>
      </c>
      <c r="N527" s="280">
        <v>1839.9999999999998</v>
      </c>
      <c r="O527" s="289">
        <f t="shared" si="61"/>
        <v>1.0502283105022829</v>
      </c>
    </row>
    <row r="528" spans="1:15" s="232" customFormat="1" ht="16.95" customHeight="1">
      <c r="A528" s="277">
        <v>569</v>
      </c>
      <c r="B528" s="296"/>
      <c r="C528" s="279" t="s">
        <v>693</v>
      </c>
      <c r="D528" s="280">
        <v>1010</v>
      </c>
      <c r="E528" s="285"/>
      <c r="F528" s="297"/>
      <c r="G528" s="286"/>
      <c r="H528" s="287">
        <v>2628</v>
      </c>
      <c r="I528" s="287"/>
      <c r="J528" s="288">
        <f t="shared" si="60"/>
        <v>2759</v>
      </c>
      <c r="K528" s="287">
        <f t="shared" si="63"/>
        <v>27.59</v>
      </c>
      <c r="L528" s="287">
        <f t="shared" si="64"/>
        <v>27.6</v>
      </c>
      <c r="M528" s="287">
        <f t="shared" si="65"/>
        <v>2760</v>
      </c>
      <c r="N528" s="280">
        <v>2760</v>
      </c>
      <c r="O528" s="289">
        <f t="shared" si="61"/>
        <v>1.0502283105022832</v>
      </c>
    </row>
    <row r="529" spans="1:15" s="232" customFormat="1" ht="16.95" customHeight="1">
      <c r="A529" s="277">
        <v>570</v>
      </c>
      <c r="B529" s="296"/>
      <c r="C529" s="279" t="s">
        <v>694</v>
      </c>
      <c r="D529" s="280">
        <v>2020</v>
      </c>
      <c r="E529" s="285"/>
      <c r="F529" s="297"/>
      <c r="G529" s="286"/>
      <c r="H529" s="287">
        <v>5256</v>
      </c>
      <c r="I529" s="287"/>
      <c r="J529" s="288">
        <f t="shared" si="60"/>
        <v>5519</v>
      </c>
      <c r="K529" s="287">
        <f t="shared" si="63"/>
        <v>55.19</v>
      </c>
      <c r="L529" s="287">
        <f t="shared" si="64"/>
        <v>55.2</v>
      </c>
      <c r="M529" s="287">
        <f t="shared" si="65"/>
        <v>5520</v>
      </c>
      <c r="N529" s="280">
        <v>5520</v>
      </c>
      <c r="O529" s="289">
        <f t="shared" si="61"/>
        <v>1.0502283105022832</v>
      </c>
    </row>
    <row r="530" spans="1:15" s="232" customFormat="1" ht="16.95" customHeight="1">
      <c r="A530" s="277">
        <v>571</v>
      </c>
      <c r="B530" s="296"/>
      <c r="C530" s="279" t="s">
        <v>695</v>
      </c>
      <c r="D530" s="280">
        <v>3040</v>
      </c>
      <c r="E530" s="285"/>
      <c r="F530" s="297"/>
      <c r="G530" s="286"/>
      <c r="H530" s="287">
        <v>4380</v>
      </c>
      <c r="I530" s="287"/>
      <c r="J530" s="288">
        <f t="shared" si="60"/>
        <v>4599</v>
      </c>
      <c r="K530" s="287">
        <f t="shared" si="63"/>
        <v>45.99</v>
      </c>
      <c r="L530" s="287">
        <f t="shared" si="64"/>
        <v>46</v>
      </c>
      <c r="M530" s="287">
        <f t="shared" si="65"/>
        <v>4600</v>
      </c>
      <c r="N530" s="280">
        <v>4600</v>
      </c>
      <c r="O530" s="289">
        <f t="shared" si="61"/>
        <v>1.0502283105022832</v>
      </c>
    </row>
    <row r="531" spans="1:15" s="232" customFormat="1" ht="16.95" customHeight="1">
      <c r="A531" s="277">
        <v>572</v>
      </c>
      <c r="B531" s="296"/>
      <c r="C531" s="279" t="s">
        <v>696</v>
      </c>
      <c r="D531" s="280">
        <v>6070</v>
      </c>
      <c r="E531" s="285"/>
      <c r="F531" s="297"/>
      <c r="G531" s="286"/>
      <c r="H531" s="287">
        <v>1314</v>
      </c>
      <c r="I531" s="287"/>
      <c r="J531" s="288">
        <f t="shared" si="60"/>
        <v>1380</v>
      </c>
      <c r="K531" s="287">
        <f t="shared" si="63"/>
        <v>13.8</v>
      </c>
      <c r="L531" s="287">
        <f t="shared" si="64"/>
        <v>13.8</v>
      </c>
      <c r="M531" s="287">
        <f t="shared" si="65"/>
        <v>1380</v>
      </c>
      <c r="N531" s="280">
        <v>1380</v>
      </c>
      <c r="O531" s="289">
        <f t="shared" si="61"/>
        <v>1.0502283105022832</v>
      </c>
    </row>
    <row r="532" spans="1:15" s="232" customFormat="1" ht="16.95" customHeight="1">
      <c r="A532" s="277">
        <v>573</v>
      </c>
      <c r="B532" s="296"/>
      <c r="C532" s="279" t="s">
        <v>737</v>
      </c>
      <c r="D532" s="280">
        <v>5060</v>
      </c>
      <c r="E532" s="285"/>
      <c r="F532" s="297"/>
      <c r="G532" s="286"/>
      <c r="H532" s="287">
        <v>2628</v>
      </c>
      <c r="I532" s="287"/>
      <c r="J532" s="288">
        <f t="shared" si="60"/>
        <v>2759</v>
      </c>
      <c r="K532" s="287">
        <f t="shared" si="63"/>
        <v>27.59</v>
      </c>
      <c r="L532" s="287">
        <f t="shared" si="64"/>
        <v>27.6</v>
      </c>
      <c r="M532" s="287">
        <f t="shared" si="65"/>
        <v>2760</v>
      </c>
      <c r="N532" s="280">
        <v>2760</v>
      </c>
      <c r="O532" s="289">
        <f t="shared" si="61"/>
        <v>1.0502283105022832</v>
      </c>
    </row>
    <row r="533" spans="1:15" s="232" customFormat="1" ht="16.95" customHeight="1">
      <c r="A533" s="277">
        <v>574</v>
      </c>
      <c r="B533" s="296"/>
      <c r="C533" s="279" t="s">
        <v>1012</v>
      </c>
      <c r="D533" s="280">
        <v>1520</v>
      </c>
      <c r="E533" s="285"/>
      <c r="F533" s="297"/>
      <c r="G533" s="286"/>
      <c r="H533" s="287">
        <v>4380</v>
      </c>
      <c r="I533" s="287"/>
      <c r="J533" s="288">
        <f t="shared" si="60"/>
        <v>4599</v>
      </c>
      <c r="K533" s="287">
        <f t="shared" si="63"/>
        <v>45.99</v>
      </c>
      <c r="L533" s="287">
        <f t="shared" si="64"/>
        <v>46</v>
      </c>
      <c r="M533" s="287">
        <f t="shared" si="65"/>
        <v>4600</v>
      </c>
      <c r="N533" s="280">
        <v>4600</v>
      </c>
      <c r="O533" s="289">
        <f t="shared" si="61"/>
        <v>1.0502283105022832</v>
      </c>
    </row>
    <row r="534" spans="1:15" s="232" customFormat="1" ht="16.95" customHeight="1">
      <c r="A534" s="277">
        <v>575</v>
      </c>
      <c r="B534" s="296"/>
      <c r="C534" s="279" t="s">
        <v>803</v>
      </c>
      <c r="D534" s="280">
        <v>3040</v>
      </c>
      <c r="E534" s="285"/>
      <c r="F534" s="297"/>
      <c r="G534" s="286"/>
      <c r="H534" s="287">
        <v>7884</v>
      </c>
      <c r="I534" s="287"/>
      <c r="J534" s="288">
        <f t="shared" si="60"/>
        <v>8278</v>
      </c>
      <c r="K534" s="287">
        <f t="shared" si="63"/>
        <v>82.78</v>
      </c>
      <c r="L534" s="287">
        <f t="shared" si="64"/>
        <v>82.8</v>
      </c>
      <c r="M534" s="287">
        <f t="shared" si="65"/>
        <v>8280</v>
      </c>
      <c r="N534" s="280">
        <v>8280</v>
      </c>
      <c r="O534" s="289">
        <f t="shared" si="61"/>
        <v>1.0502283105022832</v>
      </c>
    </row>
    <row r="535" spans="1:15" s="232" customFormat="1" ht="16.95" customHeight="1">
      <c r="A535" s="277">
        <v>576</v>
      </c>
      <c r="B535" s="296"/>
      <c r="C535" s="279" t="s">
        <v>804</v>
      </c>
      <c r="D535" s="280">
        <v>5060</v>
      </c>
      <c r="E535" s="285"/>
      <c r="F535" s="297"/>
      <c r="G535" s="286"/>
      <c r="H535" s="287">
        <v>6570</v>
      </c>
      <c r="I535" s="287"/>
      <c r="J535" s="288">
        <f t="shared" si="60"/>
        <v>6899</v>
      </c>
      <c r="K535" s="287">
        <f t="shared" si="63"/>
        <v>68.989999999999995</v>
      </c>
      <c r="L535" s="287">
        <f t="shared" si="64"/>
        <v>69</v>
      </c>
      <c r="M535" s="287">
        <f t="shared" si="65"/>
        <v>6900</v>
      </c>
      <c r="N535" s="280">
        <v>6900</v>
      </c>
      <c r="O535" s="289">
        <f t="shared" si="61"/>
        <v>1.0502283105022832</v>
      </c>
    </row>
    <row r="536" spans="1:15" s="232" customFormat="1" ht="16.95" customHeight="1">
      <c r="A536" s="277">
        <v>577</v>
      </c>
      <c r="B536" s="296"/>
      <c r="C536" s="279" t="s">
        <v>805</v>
      </c>
      <c r="D536" s="280">
        <v>9110</v>
      </c>
      <c r="E536" s="285"/>
      <c r="F536" s="297"/>
      <c r="G536" s="286"/>
      <c r="H536" s="287">
        <v>307</v>
      </c>
      <c r="I536" s="287"/>
      <c r="J536" s="288">
        <f t="shared" si="60"/>
        <v>322</v>
      </c>
      <c r="K536" s="287">
        <f t="shared" si="63"/>
        <v>3.22</v>
      </c>
      <c r="L536" s="287">
        <f t="shared" si="64"/>
        <v>3.2</v>
      </c>
      <c r="M536" s="287">
        <f t="shared" si="65"/>
        <v>320</v>
      </c>
      <c r="N536" s="280">
        <v>320</v>
      </c>
      <c r="O536" s="289">
        <f t="shared" si="61"/>
        <v>1.0423452768729642</v>
      </c>
    </row>
    <row r="537" spans="1:15" s="232" customFormat="1" ht="30" customHeight="1">
      <c r="A537" s="277">
        <v>578</v>
      </c>
      <c r="B537" s="296"/>
      <c r="C537" s="279" t="s">
        <v>806</v>
      </c>
      <c r="D537" s="280">
        <v>7590</v>
      </c>
      <c r="E537" s="285"/>
      <c r="F537" s="297"/>
      <c r="G537" s="286"/>
      <c r="H537" s="287">
        <v>2</v>
      </c>
      <c r="I537" s="287"/>
      <c r="J537" s="288">
        <f t="shared" si="60"/>
        <v>2</v>
      </c>
      <c r="K537" s="287">
        <f t="shared" si="63"/>
        <v>0.02</v>
      </c>
      <c r="L537" s="306">
        <f t="shared" si="64"/>
        <v>0</v>
      </c>
      <c r="M537" s="287">
        <v>2</v>
      </c>
      <c r="N537" s="280">
        <v>10</v>
      </c>
      <c r="O537" s="289">
        <f t="shared" si="61"/>
        <v>5</v>
      </c>
    </row>
    <row r="538" spans="1:15" s="232" customFormat="1" ht="15.6">
      <c r="A538" s="277">
        <v>579</v>
      </c>
      <c r="B538" s="296"/>
      <c r="C538" s="279" t="s">
        <v>657</v>
      </c>
      <c r="D538" s="280">
        <v>350</v>
      </c>
      <c r="E538" s="285"/>
      <c r="F538" s="302"/>
      <c r="G538" s="302"/>
      <c r="H538" s="302"/>
      <c r="I538" s="302"/>
      <c r="J538" s="302"/>
      <c r="K538" s="302"/>
      <c r="L538" s="302"/>
      <c r="M538" s="307"/>
      <c r="N538" s="308">
        <v>20</v>
      </c>
      <c r="O538" s="309"/>
    </row>
    <row r="539" spans="1:15" s="232" customFormat="1" ht="26.4">
      <c r="A539" s="277">
        <v>580</v>
      </c>
      <c r="B539" s="296"/>
      <c r="C539" s="279" t="s">
        <v>658</v>
      </c>
      <c r="D539" s="280">
        <v>10</v>
      </c>
      <c r="E539" s="285"/>
      <c r="F539" s="302"/>
      <c r="G539" s="302"/>
      <c r="H539" s="302"/>
      <c r="I539" s="302"/>
      <c r="J539" s="302"/>
      <c r="K539" s="302"/>
      <c r="L539" s="302"/>
      <c r="M539" s="307"/>
      <c r="N539" s="308">
        <v>50</v>
      </c>
      <c r="O539" s="310"/>
    </row>
    <row r="540" spans="1:15" s="232" customFormat="1" ht="16.95" customHeight="1">
      <c r="A540" s="277">
        <v>582</v>
      </c>
      <c r="B540" s="278"/>
      <c r="C540" s="311" t="s">
        <v>667</v>
      </c>
      <c r="D540" s="280">
        <v>20</v>
      </c>
      <c r="E540" s="312"/>
      <c r="N540" s="308">
        <v>11340</v>
      </c>
    </row>
    <row r="541" spans="1:15" s="232" customFormat="1" ht="16.95" customHeight="1">
      <c r="A541" s="277">
        <v>583</v>
      </c>
      <c r="B541" s="278"/>
      <c r="C541" s="313" t="s">
        <v>668</v>
      </c>
      <c r="D541" s="280">
        <v>60</v>
      </c>
      <c r="E541" s="312"/>
      <c r="N541" s="308">
        <v>20250</v>
      </c>
    </row>
    <row r="542" spans="1:15" s="232" customFormat="1" ht="16.95" customHeight="1">
      <c r="A542" s="277">
        <v>584</v>
      </c>
      <c r="B542" s="278"/>
      <c r="C542" s="313" t="s">
        <v>822</v>
      </c>
      <c r="D542" s="280">
        <v>12470</v>
      </c>
      <c r="E542" s="312"/>
      <c r="N542" s="308">
        <v>30380</v>
      </c>
    </row>
    <row r="543" spans="1:15" s="232" customFormat="1" ht="30" customHeight="1">
      <c r="A543" s="277">
        <v>585</v>
      </c>
      <c r="B543" s="278"/>
      <c r="C543" s="313" t="s">
        <v>823</v>
      </c>
      <c r="D543" s="280">
        <v>22280</v>
      </c>
      <c r="E543" s="312"/>
      <c r="N543" s="308">
        <v>420</v>
      </c>
    </row>
    <row r="544" spans="1:15" s="232" customFormat="1" ht="16.95" customHeight="1">
      <c r="A544" s="277">
        <v>586</v>
      </c>
      <c r="B544" s="278"/>
      <c r="C544" s="311" t="s">
        <v>824</v>
      </c>
      <c r="D544" s="280">
        <v>33420</v>
      </c>
      <c r="E544" s="312"/>
      <c r="N544" s="308">
        <v>530</v>
      </c>
    </row>
    <row r="545" spans="1:14" s="232" customFormat="1" ht="30" customHeight="1">
      <c r="A545" s="277">
        <v>587</v>
      </c>
      <c r="B545" s="278"/>
      <c r="C545" s="311" t="s">
        <v>827</v>
      </c>
      <c r="D545" s="280">
        <v>460</v>
      </c>
      <c r="E545" s="312"/>
      <c r="N545" s="314">
        <v>90</v>
      </c>
    </row>
    <row r="546" spans="1:14" s="232" customFormat="1" ht="25.95" customHeight="1">
      <c r="A546" s="277">
        <v>588</v>
      </c>
      <c r="B546" s="278"/>
      <c r="C546" s="311" t="s">
        <v>825</v>
      </c>
      <c r="D546" s="280">
        <v>580</v>
      </c>
      <c r="E546" s="285"/>
      <c r="F546" s="302"/>
      <c r="G546" s="302"/>
      <c r="H546" s="302"/>
      <c r="I546" s="302"/>
      <c r="J546" s="302"/>
      <c r="K546" s="302"/>
      <c r="L546" s="302"/>
      <c r="M546" s="302"/>
      <c r="N546" s="315">
        <v>6500</v>
      </c>
    </row>
    <row r="547" spans="1:14" s="232" customFormat="1" ht="23.4" customHeight="1">
      <c r="A547" s="277">
        <v>589</v>
      </c>
      <c r="B547" s="304"/>
      <c r="C547" s="311" t="s">
        <v>826</v>
      </c>
      <c r="D547" s="280">
        <v>100</v>
      </c>
      <c r="E547" s="285"/>
      <c r="F547" s="302"/>
      <c r="G547" s="302"/>
      <c r="H547" s="302"/>
      <c r="I547" s="302"/>
      <c r="J547" s="302"/>
      <c r="K547" s="302"/>
      <c r="L547" s="302"/>
      <c r="M547" s="302"/>
      <c r="N547" s="315">
        <v>3000</v>
      </c>
    </row>
    <row r="548" spans="1:14" s="232" customFormat="1" ht="26.4">
      <c r="A548" s="277">
        <v>590</v>
      </c>
      <c r="B548" s="282" t="s">
        <v>817</v>
      </c>
      <c r="C548" s="311" t="s">
        <v>821</v>
      </c>
      <c r="D548" s="280">
        <v>7150</v>
      </c>
      <c r="E548" s="285"/>
      <c r="F548" s="302"/>
      <c r="G548" s="302"/>
      <c r="H548" s="302"/>
      <c r="I548" s="302"/>
      <c r="J548" s="302"/>
      <c r="K548" s="302"/>
      <c r="L548" s="302"/>
      <c r="M548" s="302"/>
      <c r="N548" s="315">
        <v>4000</v>
      </c>
    </row>
    <row r="549" spans="1:14" s="232" customFormat="1" ht="15.6">
      <c r="A549" s="277">
        <v>591</v>
      </c>
      <c r="B549" s="282" t="s">
        <v>818</v>
      </c>
      <c r="C549" s="311" t="s">
        <v>819</v>
      </c>
      <c r="D549" s="280">
        <v>3300</v>
      </c>
    </row>
    <row r="550" spans="1:14" s="232" customFormat="1" ht="15.6">
      <c r="A550" s="277">
        <v>592</v>
      </c>
      <c r="B550" s="282" t="s">
        <v>818</v>
      </c>
      <c r="C550" s="279" t="s">
        <v>820</v>
      </c>
      <c r="D550" s="280">
        <v>4400</v>
      </c>
      <c r="E550" s="312"/>
      <c r="N550" s="316"/>
    </row>
    <row r="551" spans="1:14" s="232" customFormat="1" ht="15.6">
      <c r="A551" s="277">
        <v>593</v>
      </c>
      <c r="B551" s="296"/>
      <c r="C551" s="279" t="s">
        <v>980</v>
      </c>
      <c r="D551" s="280">
        <v>900</v>
      </c>
      <c r="E551" s="312"/>
      <c r="N551" s="316"/>
    </row>
    <row r="552" spans="1:14" s="232" customFormat="1" ht="15.6">
      <c r="A552" s="277">
        <v>594</v>
      </c>
      <c r="B552" s="296"/>
      <c r="C552" s="279" t="s">
        <v>981</v>
      </c>
      <c r="D552" s="280">
        <v>1800</v>
      </c>
      <c r="E552" s="312"/>
      <c r="N552" s="316"/>
    </row>
    <row r="553" spans="1:14" s="232" customFormat="1" ht="15.6">
      <c r="A553" s="277">
        <v>595</v>
      </c>
      <c r="B553" s="296"/>
      <c r="C553" s="279" t="s">
        <v>983</v>
      </c>
      <c r="D553" s="280">
        <v>2700</v>
      </c>
      <c r="E553" s="312"/>
      <c r="N553" s="316"/>
    </row>
    <row r="554" spans="1:14" s="232" customFormat="1" ht="15.6">
      <c r="A554" s="277">
        <v>596</v>
      </c>
      <c r="B554" s="296"/>
      <c r="C554" s="279" t="s">
        <v>982</v>
      </c>
      <c r="D554" s="280">
        <v>5400</v>
      </c>
      <c r="E554" s="312"/>
      <c r="N554" s="316"/>
    </row>
    <row r="555" spans="1:14" s="232" customFormat="1" ht="15.6">
      <c r="A555" s="277">
        <v>597</v>
      </c>
      <c r="B555" s="296"/>
      <c r="C555" s="279" t="s">
        <v>984</v>
      </c>
      <c r="D555" s="280">
        <v>4500</v>
      </c>
      <c r="E555" s="312"/>
      <c r="N555" s="316"/>
    </row>
    <row r="556" spans="1:14" s="232" customFormat="1" ht="15.6">
      <c r="A556" s="277">
        <v>598</v>
      </c>
      <c r="B556" s="296"/>
      <c r="C556" s="279" t="s">
        <v>985</v>
      </c>
      <c r="D556" s="280">
        <v>1350</v>
      </c>
      <c r="E556" s="312"/>
      <c r="N556" s="316"/>
    </row>
    <row r="557" spans="1:14" s="232" customFormat="1" ht="15.6">
      <c r="A557" s="277">
        <v>599</v>
      </c>
      <c r="B557" s="296"/>
      <c r="C557" s="279" t="s">
        <v>986</v>
      </c>
      <c r="D557" s="280">
        <v>2700</v>
      </c>
      <c r="E557" s="312"/>
      <c r="N557" s="316"/>
    </row>
    <row r="558" spans="1:14" s="232" customFormat="1" ht="15.6">
      <c r="A558" s="277">
        <v>600</v>
      </c>
      <c r="B558" s="296"/>
      <c r="C558" s="279" t="s">
        <v>987</v>
      </c>
      <c r="D558" s="280">
        <v>4500</v>
      </c>
      <c r="E558" s="312"/>
      <c r="N558" s="316"/>
    </row>
    <row r="559" spans="1:14" s="232" customFormat="1" ht="15.6">
      <c r="A559" s="277">
        <v>601</v>
      </c>
      <c r="B559" s="296"/>
      <c r="C559" s="279" t="s">
        <v>988</v>
      </c>
      <c r="D559" s="280">
        <v>8100</v>
      </c>
      <c r="E559" s="312"/>
      <c r="N559" s="316"/>
    </row>
    <row r="560" spans="1:14" s="232" customFormat="1" ht="15.6">
      <c r="A560" s="277">
        <v>602</v>
      </c>
      <c r="B560" s="296"/>
      <c r="C560" s="279" t="s">
        <v>992</v>
      </c>
      <c r="D560" s="280">
        <v>6750</v>
      </c>
      <c r="E560" s="312"/>
      <c r="N560" s="316"/>
    </row>
    <row r="561" spans="1:14" s="232" customFormat="1" ht="15.6">
      <c r="A561" s="277">
        <v>603</v>
      </c>
      <c r="B561" s="296"/>
      <c r="C561" s="279" t="s">
        <v>991</v>
      </c>
      <c r="D561" s="280">
        <v>620</v>
      </c>
      <c r="E561" s="312"/>
      <c r="N561" s="316"/>
    </row>
    <row r="562" spans="1:14" s="232" customFormat="1" ht="15.6">
      <c r="A562" s="277">
        <v>604</v>
      </c>
      <c r="B562" s="296"/>
      <c r="C562" s="279" t="s">
        <v>993</v>
      </c>
      <c r="D562" s="280">
        <v>1240</v>
      </c>
      <c r="E562" s="312"/>
      <c r="N562" s="316"/>
    </row>
    <row r="563" spans="1:14" s="232" customFormat="1" ht="15.6">
      <c r="A563" s="277">
        <v>605</v>
      </c>
      <c r="B563" s="296"/>
      <c r="C563" s="279" t="s">
        <v>994</v>
      </c>
      <c r="D563" s="280">
        <v>1860</v>
      </c>
      <c r="E563" s="312"/>
      <c r="N563" s="316"/>
    </row>
    <row r="564" spans="1:14" s="232" customFormat="1" ht="15.6">
      <c r="A564" s="277">
        <v>606</v>
      </c>
      <c r="B564" s="296"/>
      <c r="C564" s="279" t="s">
        <v>995</v>
      </c>
      <c r="D564" s="280">
        <v>3720</v>
      </c>
      <c r="E564" s="312"/>
      <c r="N564" s="316"/>
    </row>
    <row r="565" spans="1:14" s="232" customFormat="1" ht="15.6">
      <c r="A565" s="277">
        <v>607</v>
      </c>
      <c r="B565" s="296"/>
      <c r="C565" s="279" t="s">
        <v>996</v>
      </c>
      <c r="D565" s="280">
        <v>3100</v>
      </c>
      <c r="E565" s="312"/>
      <c r="N565" s="316"/>
    </row>
    <row r="566" spans="1:14" s="232" customFormat="1" ht="15.6">
      <c r="A566" s="277">
        <v>608</v>
      </c>
      <c r="B566" s="296"/>
      <c r="C566" s="279" t="s">
        <v>997</v>
      </c>
      <c r="D566" s="280">
        <v>930</v>
      </c>
      <c r="E566" s="312"/>
      <c r="N566" s="316"/>
    </row>
    <row r="567" spans="1:14" s="232" customFormat="1" ht="15.6">
      <c r="A567" s="277">
        <v>609</v>
      </c>
      <c r="B567" s="296"/>
      <c r="C567" s="279" t="s">
        <v>998</v>
      </c>
      <c r="D567" s="280">
        <v>1860</v>
      </c>
      <c r="E567" s="312"/>
      <c r="N567" s="316"/>
    </row>
    <row r="568" spans="1:14" s="232" customFormat="1" ht="15.6">
      <c r="A568" s="277">
        <v>610</v>
      </c>
      <c r="B568" s="296"/>
      <c r="C568" s="279" t="s">
        <v>999</v>
      </c>
      <c r="D568" s="280">
        <v>3100</v>
      </c>
      <c r="E568" s="312"/>
      <c r="N568" s="316"/>
    </row>
    <row r="569" spans="1:14" s="232" customFormat="1" ht="15.6">
      <c r="A569" s="277">
        <v>611</v>
      </c>
      <c r="B569" s="296"/>
      <c r="C569" s="279" t="s">
        <v>1000</v>
      </c>
      <c r="D569" s="280">
        <v>5580</v>
      </c>
      <c r="E569" s="312"/>
      <c r="N569" s="316"/>
    </row>
    <row r="570" spans="1:14" s="232" customFormat="1" ht="15.6">
      <c r="A570" s="277">
        <v>612</v>
      </c>
      <c r="B570" s="296"/>
      <c r="C570" s="279" t="s">
        <v>1001</v>
      </c>
      <c r="D570" s="280">
        <v>4650</v>
      </c>
      <c r="E570" s="312"/>
      <c r="N570" s="316"/>
    </row>
    <row r="571" spans="1:14" s="232" customFormat="1" ht="15.6">
      <c r="A571" s="277">
        <v>613</v>
      </c>
      <c r="B571" s="296"/>
      <c r="C571" s="279" t="s">
        <v>1013</v>
      </c>
      <c r="D571" s="280">
        <v>80</v>
      </c>
      <c r="E571" s="312"/>
      <c r="N571" s="316"/>
    </row>
    <row r="572" spans="1:14" s="232" customFormat="1" ht="26.4">
      <c r="A572" s="277">
        <v>614</v>
      </c>
      <c r="B572" s="296"/>
      <c r="C572" s="279" t="s">
        <v>1045</v>
      </c>
      <c r="D572" s="280">
        <v>1800</v>
      </c>
      <c r="E572" s="312"/>
      <c r="N572" s="316"/>
    </row>
    <row r="573" spans="1:14" s="232" customFormat="1" ht="15.6">
      <c r="A573" s="277">
        <v>615</v>
      </c>
      <c r="B573" s="296"/>
      <c r="C573" s="279" t="s">
        <v>1052</v>
      </c>
      <c r="D573" s="280">
        <v>3960</v>
      </c>
      <c r="E573" s="312"/>
      <c r="N573" s="316"/>
    </row>
    <row r="574" spans="1:14" s="232" customFormat="1" ht="15.6">
      <c r="A574" s="277">
        <v>616</v>
      </c>
      <c r="B574" s="296"/>
      <c r="C574" s="279" t="s">
        <v>1053</v>
      </c>
      <c r="D574" s="280">
        <v>5110</v>
      </c>
      <c r="E574" s="312"/>
      <c r="N574" s="316"/>
    </row>
    <row r="575" spans="1:14" s="232" customFormat="1" ht="15.6">
      <c r="A575" s="277">
        <v>617</v>
      </c>
      <c r="B575" s="296"/>
      <c r="C575" s="279" t="s">
        <v>1051</v>
      </c>
      <c r="D575" s="280">
        <v>2340</v>
      </c>
      <c r="E575" s="312"/>
      <c r="N575" s="316"/>
    </row>
    <row r="576" spans="1:14" s="232" customFormat="1" ht="15.6">
      <c r="A576" s="277">
        <v>618</v>
      </c>
      <c r="B576" s="296"/>
      <c r="C576" s="279" t="s">
        <v>1054</v>
      </c>
      <c r="D576" s="280">
        <v>670</v>
      </c>
      <c r="E576" s="312"/>
      <c r="N576" s="316"/>
    </row>
    <row r="577" spans="1:14" s="232" customFormat="1" ht="15.6">
      <c r="A577" s="277">
        <v>619</v>
      </c>
      <c r="B577" s="296"/>
      <c r="C577" s="279" t="s">
        <v>1056</v>
      </c>
      <c r="D577" s="280">
        <v>2020</v>
      </c>
      <c r="E577" s="312"/>
      <c r="N577" s="316"/>
    </row>
    <row r="578" spans="1:14" s="232" customFormat="1" ht="15.6">
      <c r="A578" s="277">
        <v>620</v>
      </c>
      <c r="B578" s="296"/>
      <c r="C578" s="279" t="s">
        <v>1057</v>
      </c>
      <c r="D578" s="280">
        <v>890</v>
      </c>
      <c r="E578" s="312"/>
      <c r="N578" s="316"/>
    </row>
    <row r="579" spans="1:14" s="232" customFormat="1" ht="15.6">
      <c r="A579" s="277">
        <v>621</v>
      </c>
      <c r="B579" s="278"/>
      <c r="C579" s="279" t="s">
        <v>1062</v>
      </c>
      <c r="D579" s="280">
        <v>150</v>
      </c>
      <c r="E579" s="312"/>
      <c r="N579" s="316"/>
    </row>
    <row r="580" spans="1:14" s="232" customFormat="1" ht="15.6">
      <c r="A580" s="277">
        <v>622</v>
      </c>
      <c r="B580" s="278"/>
      <c r="C580" s="279" t="s">
        <v>1083</v>
      </c>
      <c r="D580" s="280">
        <v>2500</v>
      </c>
      <c r="E580" s="312"/>
      <c r="N580" s="316"/>
    </row>
    <row r="581" spans="1:14" s="232" customFormat="1" ht="26.4">
      <c r="A581" s="277">
        <v>623</v>
      </c>
      <c r="B581" s="278"/>
      <c r="C581" s="279" t="s">
        <v>1061</v>
      </c>
      <c r="D581" s="280">
        <v>4000</v>
      </c>
      <c r="E581" s="312"/>
      <c r="N581" s="316"/>
    </row>
    <row r="582" spans="1:14" s="232" customFormat="1" ht="26.4">
      <c r="A582" s="277">
        <v>624</v>
      </c>
      <c r="B582" s="296"/>
      <c r="C582" s="279" t="s">
        <v>1068</v>
      </c>
      <c r="D582" s="280">
        <v>980</v>
      </c>
      <c r="E582" s="312"/>
      <c r="N582" s="316"/>
    </row>
    <row r="583" spans="1:14" s="232" customFormat="1" ht="26.4">
      <c r="A583" s="277">
        <v>625</v>
      </c>
      <c r="B583" s="296"/>
      <c r="C583" s="279" t="s">
        <v>1070</v>
      </c>
      <c r="D583" s="280">
        <v>1960</v>
      </c>
      <c r="E583" s="312"/>
      <c r="N583" s="316"/>
    </row>
    <row r="584" spans="1:14" s="232" customFormat="1" ht="26.4">
      <c r="A584" s="277">
        <v>626</v>
      </c>
      <c r="B584" s="296"/>
      <c r="C584" s="279" t="s">
        <v>1069</v>
      </c>
      <c r="D584" s="280">
        <v>2940</v>
      </c>
      <c r="E584" s="312"/>
      <c r="N584" s="316"/>
    </row>
    <row r="585" spans="1:14" s="232" customFormat="1" ht="26.4">
      <c r="A585" s="277">
        <v>627</v>
      </c>
      <c r="B585" s="296"/>
      <c r="C585" s="279" t="s">
        <v>1071</v>
      </c>
      <c r="D585" s="280">
        <v>5880</v>
      </c>
      <c r="E585" s="312"/>
      <c r="N585" s="316"/>
    </row>
    <row r="586" spans="1:14" s="232" customFormat="1" ht="26.4">
      <c r="A586" s="277">
        <v>628</v>
      </c>
      <c r="B586" s="296"/>
      <c r="C586" s="279" t="s">
        <v>1072</v>
      </c>
      <c r="D586" s="280">
        <v>4900</v>
      </c>
      <c r="E586" s="312"/>
      <c r="N586" s="316"/>
    </row>
    <row r="587" spans="1:14" s="232" customFormat="1" ht="26.4">
      <c r="A587" s="277">
        <v>629</v>
      </c>
      <c r="B587" s="296"/>
      <c r="C587" s="279" t="s">
        <v>1073</v>
      </c>
      <c r="D587" s="280">
        <v>1470</v>
      </c>
      <c r="E587" s="312"/>
      <c r="N587" s="316"/>
    </row>
    <row r="588" spans="1:14" s="232" customFormat="1" ht="26.4">
      <c r="A588" s="277">
        <v>630</v>
      </c>
      <c r="B588" s="296"/>
      <c r="C588" s="279" t="s">
        <v>1065</v>
      </c>
      <c r="D588" s="280">
        <v>2940</v>
      </c>
      <c r="E588" s="312"/>
      <c r="N588" s="316"/>
    </row>
    <row r="589" spans="1:14" s="232" customFormat="1" ht="26.4">
      <c r="A589" s="277">
        <v>631</v>
      </c>
      <c r="B589" s="296"/>
      <c r="C589" s="279" t="s">
        <v>1066</v>
      </c>
      <c r="D589" s="280">
        <v>4900</v>
      </c>
      <c r="E589" s="312"/>
      <c r="N589" s="316"/>
    </row>
    <row r="590" spans="1:14" s="232" customFormat="1" ht="26.4">
      <c r="A590" s="277">
        <v>632</v>
      </c>
      <c r="B590" s="296"/>
      <c r="C590" s="279" t="s">
        <v>1067</v>
      </c>
      <c r="D590" s="280">
        <v>8820</v>
      </c>
      <c r="E590" s="312"/>
      <c r="N590" s="316"/>
    </row>
    <row r="591" spans="1:14" s="232" customFormat="1" ht="26.4">
      <c r="A591" s="277">
        <v>633</v>
      </c>
      <c r="B591" s="296"/>
      <c r="C591" s="279" t="s">
        <v>1074</v>
      </c>
      <c r="D591" s="280">
        <v>7350</v>
      </c>
      <c r="E591" s="312"/>
      <c r="N591" s="316"/>
    </row>
    <row r="592" spans="1:14" s="232" customFormat="1" ht="26.4">
      <c r="A592" s="277">
        <v>634</v>
      </c>
      <c r="B592" s="296"/>
      <c r="C592" s="279" t="s">
        <v>1079</v>
      </c>
      <c r="D592" s="280">
        <v>980</v>
      </c>
      <c r="E592" s="312"/>
      <c r="N592" s="316"/>
    </row>
    <row r="593" spans="1:14" s="232" customFormat="1" ht="26.4">
      <c r="A593" s="277">
        <v>635</v>
      </c>
      <c r="B593" s="296"/>
      <c r="C593" s="279" t="s">
        <v>1078</v>
      </c>
      <c r="D593" s="280">
        <v>1960</v>
      </c>
      <c r="E593" s="312"/>
      <c r="N593" s="316"/>
    </row>
    <row r="594" spans="1:14" s="232" customFormat="1" ht="26.4">
      <c r="A594" s="277">
        <v>636</v>
      </c>
      <c r="B594" s="296"/>
      <c r="C594" s="279" t="s">
        <v>1077</v>
      </c>
      <c r="D594" s="280">
        <v>2940</v>
      </c>
      <c r="E594" s="312"/>
      <c r="N594" s="316"/>
    </row>
    <row r="595" spans="1:14" s="232" customFormat="1" ht="26.4">
      <c r="A595" s="277">
        <v>637</v>
      </c>
      <c r="B595" s="296"/>
      <c r="C595" s="279" t="s">
        <v>1075</v>
      </c>
      <c r="D595" s="280">
        <v>5880</v>
      </c>
      <c r="E595" s="312"/>
      <c r="N595" s="316"/>
    </row>
    <row r="596" spans="1:14" s="232" customFormat="1" ht="26.4">
      <c r="A596" s="277">
        <v>638</v>
      </c>
      <c r="B596" s="296"/>
      <c r="C596" s="279" t="s">
        <v>1076</v>
      </c>
      <c r="D596" s="280">
        <v>4900</v>
      </c>
      <c r="E596" s="312"/>
      <c r="N596" s="316"/>
    </row>
    <row r="597" spans="1:14" s="232" customFormat="1" ht="26.4">
      <c r="A597" s="277">
        <v>639</v>
      </c>
      <c r="B597" s="296"/>
      <c r="C597" s="279" t="s">
        <v>1080</v>
      </c>
      <c r="D597" s="280">
        <v>1470</v>
      </c>
      <c r="E597" s="317"/>
      <c r="N597" s="316"/>
    </row>
    <row r="598" spans="1:14" s="232" customFormat="1" ht="26.4">
      <c r="A598" s="277">
        <v>640</v>
      </c>
      <c r="B598" s="296"/>
      <c r="C598" s="279" t="s">
        <v>1081</v>
      </c>
      <c r="D598" s="280">
        <v>2940</v>
      </c>
      <c r="E598" s="317"/>
      <c r="N598" s="316"/>
    </row>
    <row r="599" spans="1:14" s="232" customFormat="1" ht="26.4">
      <c r="A599" s="277">
        <v>641</v>
      </c>
      <c r="B599" s="296"/>
      <c r="C599" s="279" t="s">
        <v>1084</v>
      </c>
      <c r="D599" s="280">
        <v>4900</v>
      </c>
      <c r="E599" s="317"/>
      <c r="N599" s="316"/>
    </row>
    <row r="600" spans="1:14" s="232" customFormat="1" ht="26.4">
      <c r="A600" s="277">
        <v>642</v>
      </c>
      <c r="B600" s="296"/>
      <c r="C600" s="279" t="s">
        <v>1085</v>
      </c>
      <c r="D600" s="280">
        <v>8820</v>
      </c>
      <c r="E600" s="317"/>
      <c r="N600" s="316"/>
    </row>
    <row r="601" spans="1:14" s="232" customFormat="1" ht="26.4">
      <c r="A601" s="277">
        <v>643</v>
      </c>
      <c r="B601" s="296"/>
      <c r="C601" s="279" t="s">
        <v>1086</v>
      </c>
      <c r="D601" s="280">
        <v>7350</v>
      </c>
      <c r="E601" s="317"/>
      <c r="N601" s="316"/>
    </row>
    <row r="602" spans="1:14" s="232" customFormat="1" ht="26.4">
      <c r="A602" s="277">
        <v>644</v>
      </c>
      <c r="B602" s="296"/>
      <c r="C602" s="279" t="s">
        <v>1089</v>
      </c>
      <c r="D602" s="280">
        <v>4020</v>
      </c>
    </row>
    <row r="603" spans="1:14" s="232" customFormat="1" ht="26.4">
      <c r="A603" s="277">
        <v>645</v>
      </c>
      <c r="B603" s="296"/>
      <c r="C603" s="279" t="s">
        <v>1090</v>
      </c>
      <c r="D603" s="280">
        <v>5250</v>
      </c>
    </row>
    <row r="604" spans="1:14" s="232" customFormat="1" ht="15.6">
      <c r="A604" s="277">
        <v>646</v>
      </c>
      <c r="B604" s="278"/>
      <c r="C604" s="279" t="s">
        <v>1105</v>
      </c>
      <c r="D604" s="280">
        <v>50</v>
      </c>
    </row>
    <row r="605" spans="1:14" s="232" customFormat="1" ht="15.6">
      <c r="A605" s="277">
        <v>647</v>
      </c>
      <c r="B605" s="278"/>
      <c r="C605" s="279" t="s">
        <v>1131</v>
      </c>
      <c r="D605" s="280">
        <v>140</v>
      </c>
    </row>
    <row r="606" spans="1:14" s="232" customFormat="1" ht="15.6">
      <c r="A606" s="277">
        <v>648</v>
      </c>
      <c r="B606" s="278"/>
      <c r="C606" s="279" t="s">
        <v>1106</v>
      </c>
      <c r="D606" s="280">
        <v>120</v>
      </c>
    </row>
    <row r="607" spans="1:14" s="232" customFormat="1" ht="26.4">
      <c r="A607" s="277">
        <v>649</v>
      </c>
      <c r="B607" s="278"/>
      <c r="C607" s="279" t="s">
        <v>1107</v>
      </c>
      <c r="D607" s="280">
        <v>240</v>
      </c>
    </row>
    <row r="608" spans="1:14" s="232" customFormat="1" ht="26.4">
      <c r="A608" s="277">
        <v>650</v>
      </c>
      <c r="B608" s="278"/>
      <c r="C608" s="279" t="s">
        <v>1108</v>
      </c>
      <c r="D608" s="280">
        <v>360</v>
      </c>
    </row>
    <row r="609" spans="1:4" s="232" customFormat="1" ht="26.4">
      <c r="A609" s="277">
        <v>651</v>
      </c>
      <c r="B609" s="278"/>
      <c r="C609" s="279" t="s">
        <v>1098</v>
      </c>
      <c r="D609" s="280">
        <v>720</v>
      </c>
    </row>
    <row r="610" spans="1:4" s="232" customFormat="1" ht="15.6">
      <c r="A610" s="277">
        <v>652</v>
      </c>
      <c r="B610" s="278"/>
      <c r="C610" s="279" t="s">
        <v>1099</v>
      </c>
      <c r="D610" s="280">
        <v>600</v>
      </c>
    </row>
    <row r="611" spans="1:4" s="232" customFormat="1" ht="26.4">
      <c r="A611" s="277">
        <v>653</v>
      </c>
      <c r="B611" s="278"/>
      <c r="C611" s="279" t="s">
        <v>1100</v>
      </c>
      <c r="D611" s="280">
        <v>180</v>
      </c>
    </row>
    <row r="612" spans="1:4" s="232" customFormat="1" ht="26.4">
      <c r="A612" s="277">
        <v>654</v>
      </c>
      <c r="B612" s="278"/>
      <c r="C612" s="279" t="s">
        <v>1101</v>
      </c>
      <c r="D612" s="280">
        <v>360</v>
      </c>
    </row>
    <row r="613" spans="1:4" s="232" customFormat="1" ht="26.4">
      <c r="A613" s="277">
        <v>655</v>
      </c>
      <c r="B613" s="278"/>
      <c r="C613" s="279" t="s">
        <v>1102</v>
      </c>
      <c r="D613" s="280">
        <v>600</v>
      </c>
    </row>
    <row r="614" spans="1:4" s="232" customFormat="1" ht="26.4">
      <c r="A614" s="277">
        <v>656</v>
      </c>
      <c r="B614" s="278"/>
      <c r="C614" s="279" t="s">
        <v>1103</v>
      </c>
      <c r="D614" s="280">
        <v>1080</v>
      </c>
    </row>
    <row r="615" spans="1:4" s="232" customFormat="1" ht="26.4">
      <c r="A615" s="277">
        <v>657</v>
      </c>
      <c r="B615" s="278"/>
      <c r="C615" s="279" t="s">
        <v>1104</v>
      </c>
      <c r="D615" s="280">
        <v>900</v>
      </c>
    </row>
    <row r="616" spans="1:4" s="232" customFormat="1" ht="15.6">
      <c r="A616" s="277">
        <v>658</v>
      </c>
      <c r="B616" s="278"/>
      <c r="C616" s="279" t="s">
        <v>1111</v>
      </c>
      <c r="D616" s="280">
        <v>560</v>
      </c>
    </row>
    <row r="617" spans="1:4" s="232" customFormat="1" ht="15.6">
      <c r="A617" s="277">
        <v>659</v>
      </c>
      <c r="B617" s="278"/>
      <c r="C617" s="279" t="s">
        <v>1112</v>
      </c>
      <c r="D617" s="280">
        <v>1120</v>
      </c>
    </row>
    <row r="618" spans="1:4" s="232" customFormat="1" ht="27.6" customHeight="1">
      <c r="A618" s="277">
        <v>660</v>
      </c>
      <c r="B618" s="278"/>
      <c r="C618" s="279" t="s">
        <v>1113</v>
      </c>
      <c r="D618" s="280">
        <v>1680</v>
      </c>
    </row>
    <row r="619" spans="1:4" s="232" customFormat="1" ht="15.6">
      <c r="A619" s="277">
        <v>661</v>
      </c>
      <c r="B619" s="278"/>
      <c r="C619" s="279" t="s">
        <v>1114</v>
      </c>
      <c r="D619" s="280">
        <v>3360</v>
      </c>
    </row>
    <row r="620" spans="1:4" s="232" customFormat="1" ht="15.6">
      <c r="A620" s="277">
        <v>662</v>
      </c>
      <c r="B620" s="278"/>
      <c r="C620" s="279" t="s">
        <v>1115</v>
      </c>
      <c r="D620" s="280">
        <v>2800</v>
      </c>
    </row>
    <row r="621" spans="1:4" s="232" customFormat="1" ht="13.2" customHeight="1">
      <c r="A621" s="277">
        <v>663</v>
      </c>
      <c r="B621" s="278"/>
      <c r="C621" s="279" t="s">
        <v>1116</v>
      </c>
      <c r="D621" s="280">
        <v>840</v>
      </c>
    </row>
    <row r="622" spans="1:4" s="232" customFormat="1" ht="29.4" customHeight="1">
      <c r="A622" s="277">
        <v>664</v>
      </c>
      <c r="B622" s="278"/>
      <c r="C622" s="279" t="s">
        <v>1117</v>
      </c>
      <c r="D622" s="280">
        <v>1660</v>
      </c>
    </row>
    <row r="623" spans="1:4" s="232" customFormat="1" ht="15.6">
      <c r="A623" s="277">
        <v>665</v>
      </c>
      <c r="B623" s="278"/>
      <c r="C623" s="279" t="s">
        <v>1118</v>
      </c>
      <c r="D623" s="280">
        <v>2800</v>
      </c>
    </row>
    <row r="624" spans="1:4" s="232" customFormat="1" ht="15.6">
      <c r="A624" s="277">
        <v>666</v>
      </c>
      <c r="B624" s="278"/>
      <c r="C624" s="279" t="s">
        <v>1119</v>
      </c>
      <c r="D624" s="280">
        <v>5040</v>
      </c>
    </row>
    <row r="625" spans="1:4" s="232" customFormat="1" ht="15.6">
      <c r="A625" s="277">
        <v>667</v>
      </c>
      <c r="B625" s="278"/>
      <c r="C625" s="279" t="s">
        <v>1120</v>
      </c>
      <c r="D625" s="280">
        <v>4200</v>
      </c>
    </row>
    <row r="626" spans="1:4" s="232" customFormat="1" ht="15.6">
      <c r="A626" s="277">
        <v>668</v>
      </c>
      <c r="B626" s="278"/>
      <c r="C626" s="279" t="s">
        <v>1121</v>
      </c>
      <c r="D626" s="280">
        <v>520</v>
      </c>
    </row>
    <row r="627" spans="1:4" s="232" customFormat="1" ht="15.6">
      <c r="A627" s="277">
        <v>669</v>
      </c>
      <c r="B627" s="278"/>
      <c r="C627" s="279" t="s">
        <v>1122</v>
      </c>
      <c r="D627" s="280">
        <v>1040</v>
      </c>
    </row>
    <row r="628" spans="1:4" s="232" customFormat="1" ht="15.6">
      <c r="A628" s="277">
        <v>670</v>
      </c>
      <c r="B628" s="278"/>
      <c r="C628" s="279" t="s">
        <v>1123</v>
      </c>
      <c r="D628" s="280">
        <v>1560</v>
      </c>
    </row>
    <row r="629" spans="1:4" s="232" customFormat="1" ht="15.6">
      <c r="A629" s="277">
        <v>671</v>
      </c>
      <c r="B629" s="278"/>
      <c r="C629" s="279" t="s">
        <v>1124</v>
      </c>
      <c r="D629" s="280">
        <v>3120</v>
      </c>
    </row>
    <row r="630" spans="1:4" s="232" customFormat="1" ht="15.6">
      <c r="A630" s="277">
        <v>672</v>
      </c>
      <c r="B630" s="278"/>
      <c r="C630" s="279" t="s">
        <v>1125</v>
      </c>
      <c r="D630" s="280">
        <v>2600</v>
      </c>
    </row>
    <row r="631" spans="1:4" s="232" customFormat="1" ht="15.6">
      <c r="A631" s="277">
        <v>673</v>
      </c>
      <c r="B631" s="278"/>
      <c r="C631" s="279" t="s">
        <v>1126</v>
      </c>
      <c r="D631" s="280">
        <v>780</v>
      </c>
    </row>
    <row r="632" spans="1:4" s="232" customFormat="1" ht="15.6">
      <c r="A632" s="277">
        <v>674</v>
      </c>
      <c r="B632" s="278"/>
      <c r="C632" s="279" t="s">
        <v>1127</v>
      </c>
      <c r="D632" s="280">
        <v>1560</v>
      </c>
    </row>
    <row r="633" spans="1:4" s="232" customFormat="1" ht="15.6">
      <c r="A633" s="277">
        <v>675</v>
      </c>
      <c r="B633" s="278"/>
      <c r="C633" s="279" t="s">
        <v>1128</v>
      </c>
      <c r="D633" s="280">
        <v>2600</v>
      </c>
    </row>
    <row r="634" spans="1:4" s="232" customFormat="1" ht="15.6">
      <c r="A634" s="277">
        <v>676</v>
      </c>
      <c r="B634" s="278"/>
      <c r="C634" s="279" t="s">
        <v>1129</v>
      </c>
      <c r="D634" s="280">
        <v>4680</v>
      </c>
    </row>
    <row r="635" spans="1:4" s="232" customFormat="1" ht="15.6">
      <c r="A635" s="277">
        <v>677</v>
      </c>
      <c r="B635" s="278"/>
      <c r="C635" s="279" t="s">
        <v>1130</v>
      </c>
      <c r="D635" s="280">
        <v>3900</v>
      </c>
    </row>
    <row r="636" spans="1:4" s="232" customFormat="1" ht="15.6">
      <c r="A636" s="277">
        <v>678</v>
      </c>
      <c r="B636" s="278"/>
      <c r="C636" s="279" t="s">
        <v>1134</v>
      </c>
      <c r="D636" s="280">
        <v>80</v>
      </c>
    </row>
    <row r="637" spans="1:4" s="232" customFormat="1" ht="26.4">
      <c r="A637" s="277">
        <v>679</v>
      </c>
      <c r="B637" s="278"/>
      <c r="C637" s="279" t="s">
        <v>1138</v>
      </c>
      <c r="D637" s="280">
        <v>110</v>
      </c>
    </row>
    <row r="638" spans="1:4" s="232" customFormat="1" ht="15.6">
      <c r="A638" s="277">
        <v>680</v>
      </c>
      <c r="B638" s="278"/>
      <c r="C638" s="279" t="s">
        <v>1139</v>
      </c>
      <c r="D638" s="280">
        <v>220</v>
      </c>
    </row>
    <row r="639" spans="1:4" s="232" customFormat="1" ht="15.6">
      <c r="A639" s="277">
        <v>681</v>
      </c>
      <c r="B639" s="278"/>
      <c r="C639" s="279" t="s">
        <v>1140</v>
      </c>
      <c r="D639" s="280">
        <v>440</v>
      </c>
    </row>
    <row r="640" spans="1:4" s="232" customFormat="1" ht="26.4">
      <c r="A640" s="277">
        <v>682</v>
      </c>
      <c r="B640" s="278"/>
      <c r="C640" s="279" t="s">
        <v>1141</v>
      </c>
      <c r="D640" s="280">
        <v>660</v>
      </c>
    </row>
    <row r="641" spans="1:4" s="232" customFormat="1" ht="26.4">
      <c r="A641" s="277">
        <v>683</v>
      </c>
      <c r="B641" s="278"/>
      <c r="C641" s="279" t="s">
        <v>1142</v>
      </c>
      <c r="D641" s="280">
        <v>1320</v>
      </c>
    </row>
    <row r="642" spans="1:4" s="232" customFormat="1" ht="15.6">
      <c r="A642" s="277">
        <v>684</v>
      </c>
      <c r="B642" s="278"/>
      <c r="C642" s="279" t="s">
        <v>1143</v>
      </c>
      <c r="D642" s="280">
        <v>1100</v>
      </c>
    </row>
    <row r="643" spans="1:4" s="232" customFormat="1" ht="26.4">
      <c r="A643" s="277">
        <v>685</v>
      </c>
      <c r="B643" s="278"/>
      <c r="C643" s="279" t="s">
        <v>1144</v>
      </c>
      <c r="D643" s="280">
        <v>330</v>
      </c>
    </row>
    <row r="644" spans="1:4" s="232" customFormat="1" ht="26.4">
      <c r="A644" s="277">
        <v>686</v>
      </c>
      <c r="B644" s="278"/>
      <c r="C644" s="279" t="s">
        <v>1145</v>
      </c>
      <c r="D644" s="280">
        <v>660</v>
      </c>
    </row>
    <row r="645" spans="1:4" s="232" customFormat="1" ht="26.4">
      <c r="A645" s="277">
        <v>687</v>
      </c>
      <c r="B645" s="278"/>
      <c r="C645" s="279" t="s">
        <v>1148</v>
      </c>
      <c r="D645" s="280">
        <v>1100</v>
      </c>
    </row>
    <row r="646" spans="1:4" s="232" customFormat="1" ht="27.6" customHeight="1">
      <c r="A646" s="277">
        <v>688</v>
      </c>
      <c r="B646" s="278"/>
      <c r="C646" s="279" t="s">
        <v>1147</v>
      </c>
      <c r="D646" s="280">
        <v>1980</v>
      </c>
    </row>
    <row r="647" spans="1:4" s="232" customFormat="1" ht="27.6" customHeight="1">
      <c r="A647" s="277">
        <v>689</v>
      </c>
      <c r="B647" s="278"/>
      <c r="C647" s="279" t="s">
        <v>1146</v>
      </c>
      <c r="D647" s="280">
        <v>1650</v>
      </c>
    </row>
    <row r="648" spans="1:4" s="232" customFormat="1" ht="26.4">
      <c r="A648" s="277">
        <v>690</v>
      </c>
      <c r="B648" s="278"/>
      <c r="C648" s="313" t="s">
        <v>1151</v>
      </c>
      <c r="D648" s="280">
        <v>5385</v>
      </c>
    </row>
    <row r="649" spans="1:4" s="232" customFormat="1" ht="26.4">
      <c r="A649" s="277">
        <v>691</v>
      </c>
      <c r="B649" s="278"/>
      <c r="C649" s="313" t="s">
        <v>1153</v>
      </c>
      <c r="D649" s="280">
        <v>170</v>
      </c>
    </row>
    <row r="650" spans="1:4" s="232" customFormat="1" ht="15.6">
      <c r="A650" s="277">
        <v>692</v>
      </c>
      <c r="B650" s="278"/>
      <c r="C650" s="279" t="s">
        <v>1168</v>
      </c>
      <c r="D650" s="280">
        <v>500</v>
      </c>
    </row>
    <row r="651" spans="1:4" s="232" customFormat="1" ht="15.6">
      <c r="A651" s="277">
        <v>693</v>
      </c>
      <c r="B651" s="278"/>
      <c r="C651" s="279" t="s">
        <v>1169</v>
      </c>
      <c r="D651" s="280">
        <v>1000</v>
      </c>
    </row>
    <row r="652" spans="1:4" s="232" customFormat="1" ht="15.6">
      <c r="A652" s="277">
        <v>694</v>
      </c>
      <c r="B652" s="278"/>
      <c r="C652" s="279" t="s">
        <v>1170</v>
      </c>
      <c r="D652" s="280">
        <v>1500</v>
      </c>
    </row>
    <row r="653" spans="1:4" s="232" customFormat="1" ht="15.6">
      <c r="A653" s="277">
        <v>695</v>
      </c>
      <c r="B653" s="278"/>
      <c r="C653" s="279" t="s">
        <v>1171</v>
      </c>
      <c r="D653" s="280">
        <v>3000</v>
      </c>
    </row>
    <row r="654" spans="1:4" s="232" customFormat="1" ht="15.6">
      <c r="A654" s="277">
        <v>696</v>
      </c>
      <c r="B654" s="278"/>
      <c r="C654" s="279" t="s">
        <v>1172</v>
      </c>
      <c r="D654" s="280">
        <v>2500</v>
      </c>
    </row>
    <row r="655" spans="1:4" s="232" customFormat="1" ht="15.6">
      <c r="A655" s="277">
        <v>697</v>
      </c>
      <c r="B655" s="278"/>
      <c r="C655" s="279" t="s">
        <v>1173</v>
      </c>
      <c r="D655" s="280">
        <v>750</v>
      </c>
    </row>
    <row r="656" spans="1:4" s="232" customFormat="1" ht="15.6">
      <c r="A656" s="277">
        <v>698</v>
      </c>
      <c r="B656" s="278"/>
      <c r="C656" s="279" t="s">
        <v>1174</v>
      </c>
      <c r="D656" s="280">
        <v>1500</v>
      </c>
    </row>
    <row r="657" spans="1:14" s="232" customFormat="1" ht="15.6">
      <c r="A657" s="277">
        <v>699</v>
      </c>
      <c r="B657" s="278"/>
      <c r="C657" s="279" t="s">
        <v>1175</v>
      </c>
      <c r="D657" s="280">
        <v>2500</v>
      </c>
    </row>
    <row r="658" spans="1:14" s="232" customFormat="1" ht="15.6">
      <c r="A658" s="277">
        <v>700</v>
      </c>
      <c r="B658" s="278"/>
      <c r="C658" s="279" t="s">
        <v>1176</v>
      </c>
      <c r="D658" s="280">
        <v>4500</v>
      </c>
    </row>
    <row r="659" spans="1:14" s="232" customFormat="1" ht="22.2" customHeight="1">
      <c r="A659" s="277">
        <v>701</v>
      </c>
      <c r="B659" s="278"/>
      <c r="C659" s="279" t="s">
        <v>1177</v>
      </c>
      <c r="D659" s="280">
        <v>3750</v>
      </c>
    </row>
    <row r="660" spans="1:14" s="232" customFormat="1" ht="26.4">
      <c r="A660" s="277">
        <v>702</v>
      </c>
      <c r="B660" s="278"/>
      <c r="C660" s="279" t="s">
        <v>1180</v>
      </c>
      <c r="D660" s="280">
        <v>170</v>
      </c>
    </row>
    <row r="661" spans="1:14" s="232" customFormat="1" ht="37.200000000000003" customHeight="1">
      <c r="A661" s="277">
        <v>703</v>
      </c>
      <c r="B661" s="278"/>
      <c r="C661" s="279" t="s">
        <v>1179</v>
      </c>
      <c r="D661" s="280">
        <v>120</v>
      </c>
    </row>
    <row r="662" spans="1:14" s="232" customFormat="1" ht="33.6" customHeight="1">
      <c r="A662" s="277">
        <v>704</v>
      </c>
      <c r="B662" s="278"/>
      <c r="C662" s="279" t="s">
        <v>1181</v>
      </c>
      <c r="D662" s="280">
        <v>200</v>
      </c>
    </row>
    <row r="663" spans="1:14" s="232" customFormat="1" ht="27.6" customHeight="1">
      <c r="A663" s="277">
        <v>705</v>
      </c>
      <c r="B663" s="278"/>
      <c r="C663" s="279" t="s">
        <v>1253</v>
      </c>
      <c r="D663" s="280">
        <v>4910</v>
      </c>
    </row>
    <row r="664" spans="1:14" s="232" customFormat="1" ht="19.2" customHeight="1">
      <c r="A664" s="277">
        <v>706</v>
      </c>
      <c r="B664" s="278"/>
      <c r="C664" s="279" t="s">
        <v>1254</v>
      </c>
      <c r="D664" s="280">
        <v>1910</v>
      </c>
    </row>
    <row r="665" spans="1:14" s="232" customFormat="1" ht="16.95" customHeight="1">
      <c r="A665" s="277">
        <v>707</v>
      </c>
      <c r="B665" s="278"/>
      <c r="C665" s="279" t="s">
        <v>1253</v>
      </c>
      <c r="D665" s="280">
        <v>4200</v>
      </c>
    </row>
    <row r="666" spans="1:14" s="232" customFormat="1" ht="36.6" customHeight="1">
      <c r="A666" s="277">
        <v>708</v>
      </c>
      <c r="B666" s="278"/>
      <c r="C666" s="279" t="s">
        <v>1255</v>
      </c>
      <c r="D666" s="280">
        <v>300</v>
      </c>
    </row>
    <row r="667" spans="1:14" s="232" customFormat="1" ht="28.95" customHeight="1">
      <c r="A667" s="277">
        <v>709</v>
      </c>
      <c r="B667" s="278"/>
      <c r="C667" s="279" t="s">
        <v>1249</v>
      </c>
      <c r="D667" s="280">
        <v>330</v>
      </c>
    </row>
    <row r="668" spans="1:14" s="232" customFormat="1" ht="30.6" customHeight="1">
      <c r="A668" s="277">
        <v>710</v>
      </c>
      <c r="B668" s="278"/>
      <c r="C668" s="279" t="s">
        <v>1251</v>
      </c>
      <c r="D668" s="280">
        <v>380</v>
      </c>
    </row>
    <row r="669" spans="1:14" s="232" customFormat="1" ht="26.4">
      <c r="A669" s="277">
        <v>711</v>
      </c>
      <c r="B669" s="278"/>
      <c r="C669" s="279" t="s">
        <v>1256</v>
      </c>
      <c r="D669" s="280">
        <v>4930</v>
      </c>
      <c r="E669" s="317"/>
      <c r="N669" s="316"/>
    </row>
    <row r="670" spans="1:14" s="232" customFormat="1" ht="16.95" customHeight="1">
      <c r="A670" s="277">
        <v>712</v>
      </c>
      <c r="B670" s="278"/>
      <c r="C670" s="279" t="s">
        <v>1250</v>
      </c>
      <c r="D670" s="280">
        <v>7350</v>
      </c>
    </row>
    <row r="671" spans="1:14" s="232" customFormat="1" ht="16.95" customHeight="1">
      <c r="A671" s="277">
        <v>713</v>
      </c>
      <c r="B671" s="278"/>
      <c r="C671" s="279" t="s">
        <v>1259</v>
      </c>
      <c r="D671" s="280">
        <v>2000</v>
      </c>
    </row>
    <row r="672" spans="1:14" s="232" customFormat="1" ht="16.95" customHeight="1">
      <c r="A672" s="277">
        <v>714</v>
      </c>
      <c r="B672" s="278"/>
      <c r="C672" s="279" t="s">
        <v>1273</v>
      </c>
      <c r="D672" s="280">
        <v>580</v>
      </c>
    </row>
    <row r="673" spans="1:14" s="232" customFormat="1" ht="16.95" customHeight="1">
      <c r="A673" s="277">
        <v>715</v>
      </c>
      <c r="B673" s="278"/>
      <c r="C673" s="279" t="s">
        <v>1274</v>
      </c>
      <c r="D673" s="280">
        <v>1160</v>
      </c>
    </row>
    <row r="674" spans="1:14" s="232" customFormat="1" ht="16.95" customHeight="1">
      <c r="A674" s="277">
        <v>716</v>
      </c>
      <c r="B674" s="278"/>
      <c r="C674" s="279" t="s">
        <v>1275</v>
      </c>
      <c r="D674" s="280">
        <v>1740</v>
      </c>
    </row>
    <row r="675" spans="1:14" s="232" customFormat="1" ht="16.95" customHeight="1">
      <c r="A675" s="277">
        <v>717</v>
      </c>
      <c r="B675" s="278"/>
      <c r="C675" s="279" t="s">
        <v>1276</v>
      </c>
      <c r="D675" s="280">
        <v>3480</v>
      </c>
    </row>
    <row r="676" spans="1:14" s="232" customFormat="1" ht="16.95" customHeight="1">
      <c r="A676" s="277">
        <v>718</v>
      </c>
      <c r="B676" s="278"/>
      <c r="C676" s="279" t="s">
        <v>1277</v>
      </c>
      <c r="D676" s="280">
        <v>2900</v>
      </c>
    </row>
    <row r="677" spans="1:14" s="232" customFormat="1" ht="16.95" customHeight="1">
      <c r="A677" s="277">
        <v>719</v>
      </c>
      <c r="B677" s="278"/>
      <c r="C677" s="279" t="s">
        <v>1278</v>
      </c>
      <c r="D677" s="280">
        <v>870</v>
      </c>
    </row>
    <row r="678" spans="1:14" s="232" customFormat="1" ht="16.95" customHeight="1">
      <c r="A678" s="277">
        <v>720</v>
      </c>
      <c r="B678" s="278"/>
      <c r="C678" s="279" t="s">
        <v>1279</v>
      </c>
      <c r="D678" s="280">
        <v>1740</v>
      </c>
    </row>
    <row r="679" spans="1:14" s="232" customFormat="1" ht="16.95" customHeight="1">
      <c r="A679" s="277">
        <v>721</v>
      </c>
      <c r="B679" s="278"/>
      <c r="C679" s="279" t="s">
        <v>1280</v>
      </c>
      <c r="D679" s="280">
        <v>2900</v>
      </c>
    </row>
    <row r="680" spans="1:14" s="232" customFormat="1" ht="16.95" customHeight="1">
      <c r="A680" s="277">
        <v>722</v>
      </c>
      <c r="B680" s="278"/>
      <c r="C680" s="279" t="s">
        <v>1281</v>
      </c>
      <c r="D680" s="280">
        <v>5220</v>
      </c>
    </row>
    <row r="681" spans="1:14" s="232" customFormat="1" ht="16.95" customHeight="1">
      <c r="A681" s="277">
        <v>723</v>
      </c>
      <c r="B681" s="278"/>
      <c r="C681" s="279" t="s">
        <v>1282</v>
      </c>
      <c r="D681" s="280">
        <v>4350</v>
      </c>
    </row>
    <row r="682" spans="1:14" s="232" customFormat="1" ht="16.95" customHeight="1">
      <c r="A682" s="277">
        <v>724</v>
      </c>
      <c r="B682" s="278"/>
      <c r="C682" s="279" t="s">
        <v>1266</v>
      </c>
      <c r="D682" s="280">
        <v>170</v>
      </c>
    </row>
    <row r="683" spans="1:14" s="232" customFormat="1" ht="16.95" customHeight="1">
      <c r="A683" s="277">
        <v>725</v>
      </c>
      <c r="B683" s="278"/>
      <c r="C683" s="279" t="s">
        <v>1267</v>
      </c>
      <c r="D683" s="280">
        <v>100</v>
      </c>
    </row>
    <row r="684" spans="1:14" s="232" customFormat="1" ht="16.95" customHeight="1">
      <c r="A684" s="277">
        <v>726</v>
      </c>
      <c r="B684" s="278"/>
      <c r="C684" s="279" t="s">
        <v>1268</v>
      </c>
      <c r="D684" s="280">
        <v>150</v>
      </c>
    </row>
    <row r="685" spans="1:14" s="232" customFormat="1" ht="16.95" customHeight="1">
      <c r="A685" s="277">
        <v>727</v>
      </c>
      <c r="B685" s="278"/>
      <c r="C685" s="279" t="s">
        <v>1269</v>
      </c>
      <c r="D685" s="280">
        <v>160</v>
      </c>
    </row>
    <row r="686" spans="1:14" s="232" customFormat="1" ht="15.6">
      <c r="A686" s="277">
        <v>728</v>
      </c>
      <c r="B686" s="278"/>
      <c r="C686" s="279" t="s">
        <v>1270</v>
      </c>
      <c r="D686" s="280">
        <v>130</v>
      </c>
      <c r="E686" s="317"/>
      <c r="N686" s="316"/>
    </row>
    <row r="687" spans="1:14" s="232" customFormat="1" ht="15.6">
      <c r="A687" s="277">
        <v>729</v>
      </c>
      <c r="B687" s="278"/>
      <c r="C687" s="279" t="s">
        <v>1271</v>
      </c>
      <c r="D687" s="280">
        <v>100</v>
      </c>
      <c r="E687" s="317"/>
      <c r="N687" s="316"/>
    </row>
    <row r="688" spans="1:14" s="232" customFormat="1" ht="39.6">
      <c r="A688" s="277">
        <v>730</v>
      </c>
      <c r="B688" s="278"/>
      <c r="C688" s="279" t="s">
        <v>1311</v>
      </c>
      <c r="D688" s="280">
        <f>'15.08.2023 материалы'!N92</f>
        <v>30</v>
      </c>
      <c r="E688" s="317"/>
      <c r="N688" s="316"/>
    </row>
    <row r="689" spans="1:14" s="232" customFormat="1" ht="39.6">
      <c r="A689" s="277">
        <v>731</v>
      </c>
      <c r="B689" s="278"/>
      <c r="C689" s="279" t="s">
        <v>1310</v>
      </c>
      <c r="D689" s="280">
        <f>'15.08.2023 материалы'!N143</f>
        <v>50</v>
      </c>
      <c r="E689" s="317"/>
      <c r="N689" s="316"/>
    </row>
    <row r="690" spans="1:14" s="232" customFormat="1" ht="15.6">
      <c r="A690" s="277">
        <v>732</v>
      </c>
      <c r="B690" s="278"/>
      <c r="C690" s="279" t="s">
        <v>1356</v>
      </c>
      <c r="D690" s="280">
        <f>'15.08.2023 материалы'!N223</f>
        <v>490</v>
      </c>
      <c r="E690" s="317"/>
      <c r="N690" s="316"/>
    </row>
    <row r="691" spans="1:14" s="232" customFormat="1" ht="15.6">
      <c r="A691" s="277">
        <v>733</v>
      </c>
      <c r="B691" s="278"/>
      <c r="C691" s="279" t="s">
        <v>1357</v>
      </c>
      <c r="D691" s="280">
        <f>'15.08.2023 материалы'!N224</f>
        <v>30</v>
      </c>
      <c r="E691" s="317"/>
      <c r="N691" s="316"/>
    </row>
    <row r="692" spans="1:14" s="232" customFormat="1" ht="26.4">
      <c r="A692" s="277">
        <v>734</v>
      </c>
      <c r="B692" s="278"/>
      <c r="C692" s="279" t="s">
        <v>1358</v>
      </c>
      <c r="D692" s="280">
        <f>'15.08.2023 материалы'!N230</f>
        <v>240</v>
      </c>
      <c r="E692" s="317"/>
      <c r="N692" s="316"/>
    </row>
    <row r="693" spans="1:14" s="232" customFormat="1" ht="15.6">
      <c r="A693" s="277">
        <v>735</v>
      </c>
      <c r="B693" s="278"/>
      <c r="C693" s="279" t="s">
        <v>1312</v>
      </c>
      <c r="D693" s="280">
        <f>'15.08.2023 материалы'!C397</f>
        <v>320</v>
      </c>
      <c r="E693" s="317"/>
      <c r="N693" s="316"/>
    </row>
    <row r="694" spans="1:14" s="232" customFormat="1" ht="15.6">
      <c r="A694" s="277">
        <v>736</v>
      </c>
      <c r="B694" s="278"/>
      <c r="C694" s="279" t="s">
        <v>1313</v>
      </c>
      <c r="D694" s="280">
        <f>'15.08.2023 материалы'!D397</f>
        <v>640</v>
      </c>
      <c r="E694" s="317"/>
      <c r="N694" s="316"/>
    </row>
    <row r="695" spans="1:14" s="232" customFormat="1" ht="15.6">
      <c r="A695" s="277">
        <v>737</v>
      </c>
      <c r="B695" s="278"/>
      <c r="C695" s="279" t="s">
        <v>1314</v>
      </c>
      <c r="D695" s="280">
        <f>'15.08.2023 материалы'!E397</f>
        <v>960</v>
      </c>
      <c r="E695" s="317"/>
      <c r="N695" s="316"/>
    </row>
    <row r="696" spans="1:14" s="232" customFormat="1" ht="15.6">
      <c r="A696" s="277">
        <v>738</v>
      </c>
      <c r="B696" s="278"/>
      <c r="C696" s="279" t="s">
        <v>1315</v>
      </c>
      <c r="D696" s="280">
        <f>'15.08.2023 материалы'!F397</f>
        <v>1920</v>
      </c>
      <c r="E696" s="317"/>
      <c r="N696" s="316"/>
    </row>
    <row r="697" spans="1:14" s="232" customFormat="1" ht="15.6">
      <c r="A697" s="277">
        <v>739</v>
      </c>
      <c r="B697" s="278"/>
      <c r="C697" s="279" t="s">
        <v>1316</v>
      </c>
      <c r="D697" s="280">
        <f>'15.08.2023 материалы'!G397</f>
        <v>1600</v>
      </c>
      <c r="E697" s="317"/>
      <c r="N697" s="316"/>
    </row>
    <row r="698" spans="1:14" s="232" customFormat="1" ht="15.6">
      <c r="A698" s="277">
        <v>740</v>
      </c>
      <c r="B698" s="278"/>
      <c r="C698" s="279" t="s">
        <v>1317</v>
      </c>
      <c r="D698" s="280">
        <f>'15.08.2023 материалы'!C399</f>
        <v>640</v>
      </c>
      <c r="E698" s="317"/>
      <c r="N698" s="316"/>
    </row>
    <row r="699" spans="1:14" s="232" customFormat="1" ht="15.6">
      <c r="A699" s="277">
        <v>741</v>
      </c>
      <c r="B699" s="278"/>
      <c r="C699" s="279" t="s">
        <v>1318</v>
      </c>
      <c r="D699" s="280">
        <f>'15.08.2023 материалы'!D399</f>
        <v>1280</v>
      </c>
      <c r="E699" s="317"/>
      <c r="N699" s="316"/>
    </row>
    <row r="700" spans="1:14" s="232" customFormat="1" ht="15.6">
      <c r="A700" s="277">
        <v>742</v>
      </c>
      <c r="B700" s="278"/>
      <c r="C700" s="279" t="s">
        <v>1319</v>
      </c>
      <c r="D700" s="280">
        <f>'15.08.2023 материалы'!E399</f>
        <v>1920</v>
      </c>
      <c r="E700" s="317"/>
      <c r="N700" s="316"/>
    </row>
    <row r="701" spans="1:14" s="232" customFormat="1" ht="15.6">
      <c r="A701" s="277">
        <v>743</v>
      </c>
      <c r="B701" s="278"/>
      <c r="C701" s="279" t="s">
        <v>1320</v>
      </c>
      <c r="D701" s="280">
        <f>'15.08.2023 материалы'!F399</f>
        <v>3840</v>
      </c>
      <c r="E701" s="317"/>
      <c r="N701" s="316"/>
    </row>
    <row r="702" spans="1:14" s="232" customFormat="1" ht="15.6">
      <c r="A702" s="277">
        <v>744</v>
      </c>
      <c r="B702" s="278"/>
      <c r="C702" s="279" t="s">
        <v>1321</v>
      </c>
      <c r="D702" s="280">
        <f>'15.08.2023 материалы'!G399</f>
        <v>3200</v>
      </c>
      <c r="E702" s="317"/>
      <c r="N702" s="316"/>
    </row>
    <row r="703" spans="1:14" s="232" customFormat="1" ht="15.6">
      <c r="A703" s="277">
        <v>745</v>
      </c>
      <c r="B703" s="278"/>
      <c r="C703" s="279" t="s">
        <v>1324</v>
      </c>
      <c r="D703" s="280">
        <f>'15.08.2023 материалы'!C381</f>
        <v>80</v>
      </c>
      <c r="E703" s="317"/>
      <c r="N703" s="316"/>
    </row>
    <row r="704" spans="1:14" s="232" customFormat="1" ht="15.6">
      <c r="A704" s="277">
        <v>746</v>
      </c>
      <c r="B704" s="278"/>
      <c r="C704" s="279" t="s">
        <v>1325</v>
      </c>
      <c r="D704" s="280">
        <f>'15.08.2023 материалы'!D381</f>
        <v>160</v>
      </c>
      <c r="E704" s="317"/>
      <c r="N704" s="316"/>
    </row>
    <row r="705" spans="1:14" s="232" customFormat="1" ht="15.6">
      <c r="A705" s="277">
        <v>747</v>
      </c>
      <c r="B705" s="278"/>
      <c r="C705" s="279" t="s">
        <v>1326</v>
      </c>
      <c r="D705" s="280">
        <f>'15.08.2023 материалы'!E381</f>
        <v>240</v>
      </c>
      <c r="E705" s="317"/>
      <c r="N705" s="316"/>
    </row>
    <row r="706" spans="1:14" s="232" customFormat="1" ht="15.6">
      <c r="A706" s="277">
        <v>748</v>
      </c>
      <c r="B706" s="278"/>
      <c r="C706" s="279" t="s">
        <v>1327</v>
      </c>
      <c r="D706" s="280">
        <f>'15.08.2023 материалы'!F381</f>
        <v>480</v>
      </c>
      <c r="E706" s="317"/>
      <c r="N706" s="316"/>
    </row>
    <row r="707" spans="1:14" s="232" customFormat="1" ht="15.6">
      <c r="A707" s="277">
        <v>749</v>
      </c>
      <c r="B707" s="278"/>
      <c r="C707" s="279" t="s">
        <v>1328</v>
      </c>
      <c r="D707" s="280">
        <f>'15.08.2023 материалы'!G381</f>
        <v>400</v>
      </c>
      <c r="E707" s="317"/>
      <c r="N707" s="316"/>
    </row>
    <row r="708" spans="1:14" s="232" customFormat="1" ht="15.6">
      <c r="A708" s="277">
        <v>750</v>
      </c>
      <c r="B708" s="278"/>
      <c r="C708" s="279" t="s">
        <v>1329</v>
      </c>
      <c r="D708" s="280">
        <f>'15.08.2023 материалы'!C383</f>
        <v>160</v>
      </c>
      <c r="E708" s="317"/>
      <c r="N708" s="316"/>
    </row>
    <row r="709" spans="1:14" s="232" customFormat="1" ht="15.6">
      <c r="A709" s="277">
        <v>751</v>
      </c>
      <c r="B709" s="278"/>
      <c r="C709" s="279" t="s">
        <v>1330</v>
      </c>
      <c r="D709" s="280">
        <f>'15.08.2023 материалы'!D383</f>
        <v>320</v>
      </c>
      <c r="E709" s="317"/>
      <c r="N709" s="316"/>
    </row>
    <row r="710" spans="1:14" s="232" customFormat="1" ht="15.6">
      <c r="A710" s="277">
        <v>752</v>
      </c>
      <c r="B710" s="278"/>
      <c r="C710" s="279" t="s">
        <v>1331</v>
      </c>
      <c r="D710" s="280">
        <f>'15.08.2023 материалы'!E383</f>
        <v>480</v>
      </c>
      <c r="E710" s="317"/>
      <c r="N710" s="316"/>
    </row>
    <row r="711" spans="1:14" s="232" customFormat="1" ht="15.6">
      <c r="A711" s="277">
        <v>753</v>
      </c>
      <c r="B711" s="278"/>
      <c r="C711" s="279" t="s">
        <v>1332</v>
      </c>
      <c r="D711" s="280">
        <f>'15.08.2023 материалы'!F383</f>
        <v>960</v>
      </c>
      <c r="E711" s="317"/>
      <c r="N711" s="316"/>
    </row>
    <row r="712" spans="1:14" s="232" customFormat="1" ht="15.6">
      <c r="A712" s="277">
        <v>754</v>
      </c>
      <c r="B712" s="278"/>
      <c r="C712" s="279" t="s">
        <v>1333</v>
      </c>
      <c r="D712" s="280">
        <f>'15.08.2023 материалы'!G383</f>
        <v>800</v>
      </c>
      <c r="E712" s="317"/>
      <c r="N712" s="316"/>
    </row>
    <row r="713" spans="1:14" s="232" customFormat="1" ht="26.4">
      <c r="A713" s="277">
        <v>755</v>
      </c>
      <c r="B713" s="278"/>
      <c r="C713" s="279" t="s">
        <v>1337</v>
      </c>
      <c r="D713" s="280">
        <f>'15.08.2023 материалы'!N50</f>
        <v>970</v>
      </c>
      <c r="E713" s="317"/>
      <c r="N713" s="316"/>
    </row>
    <row r="714" spans="1:14" s="232" customFormat="1" ht="26.4">
      <c r="A714" s="277">
        <v>756</v>
      </c>
      <c r="B714" s="278"/>
      <c r="C714" s="279" t="s">
        <v>1338</v>
      </c>
      <c r="D714" s="280">
        <f>'15.08.2023 материалы'!N51</f>
        <v>990</v>
      </c>
      <c r="E714" s="317"/>
      <c r="N714" s="316"/>
    </row>
    <row r="715" spans="1:14" s="232" customFormat="1" ht="26.4">
      <c r="A715" s="277">
        <v>757</v>
      </c>
      <c r="B715" s="278"/>
      <c r="C715" s="279" t="s">
        <v>1336</v>
      </c>
      <c r="D715" s="280">
        <f>'15.08.2023 материалы'!N54</f>
        <v>810</v>
      </c>
      <c r="E715" s="317"/>
      <c r="N715" s="316"/>
    </row>
    <row r="716" spans="1:14" s="232" customFormat="1" ht="26.4">
      <c r="A716" s="277">
        <v>758</v>
      </c>
      <c r="B716" s="278"/>
      <c r="C716" s="279" t="s">
        <v>1339</v>
      </c>
      <c r="D716" s="280">
        <f>'15.08.2023 материалы'!N55</f>
        <v>730</v>
      </c>
      <c r="E716" s="317"/>
      <c r="N716" s="316"/>
    </row>
    <row r="717" spans="1:14" s="281" customFormat="1" ht="15.6" customHeight="1">
      <c r="A717" s="277">
        <v>759</v>
      </c>
      <c r="B717" s="278"/>
      <c r="C717" s="279" t="s">
        <v>1360</v>
      </c>
      <c r="D717" s="280">
        <v>260</v>
      </c>
    </row>
    <row r="718" spans="1:14" s="281" customFormat="1" ht="25.8" customHeight="1">
      <c r="A718" s="277">
        <v>760</v>
      </c>
      <c r="B718" s="278"/>
      <c r="C718" s="279" t="s">
        <v>1361</v>
      </c>
      <c r="D718" s="280">
        <v>110</v>
      </c>
    </row>
    <row r="719" spans="1:14" s="281" customFormat="1" ht="25.8" customHeight="1">
      <c r="A719" s="277">
        <v>761</v>
      </c>
      <c r="B719" s="278"/>
      <c r="C719" s="279" t="s">
        <v>1362</v>
      </c>
      <c r="D719" s="280">
        <v>460</v>
      </c>
    </row>
    <row r="720" spans="1:14" s="281" customFormat="1" ht="25.8" customHeight="1">
      <c r="A720" s="277">
        <v>762</v>
      </c>
      <c r="B720" s="278"/>
      <c r="C720" s="279" t="s">
        <v>1365</v>
      </c>
      <c r="D720" s="280">
        <v>260</v>
      </c>
    </row>
    <row r="721" spans="1:4" s="281" customFormat="1" ht="15" customHeight="1">
      <c r="A721" s="277">
        <v>763</v>
      </c>
      <c r="B721" s="278"/>
      <c r="C721" s="279" t="s">
        <v>1359</v>
      </c>
      <c r="D721" s="280">
        <v>30</v>
      </c>
    </row>
    <row r="722" spans="1:4" s="281" customFormat="1" ht="15.6" customHeight="1">
      <c r="A722" s="277">
        <v>764</v>
      </c>
      <c r="B722" s="278"/>
      <c r="C722" s="279" t="s">
        <v>1363</v>
      </c>
      <c r="D722" s="280">
        <v>30</v>
      </c>
    </row>
    <row r="723" spans="1:4" s="281" customFormat="1" ht="18.600000000000001" customHeight="1">
      <c r="A723" s="277">
        <v>765</v>
      </c>
      <c r="B723" s="278"/>
      <c r="C723" s="279" t="s">
        <v>1364</v>
      </c>
      <c r="D723" s="280">
        <v>50</v>
      </c>
    </row>
    <row r="724" spans="1:4" s="281" customFormat="1" ht="15.6" customHeight="1">
      <c r="A724" s="277">
        <v>766</v>
      </c>
      <c r="B724" s="278"/>
      <c r="C724" s="279" t="s">
        <v>1366</v>
      </c>
      <c r="D724" s="280">
        <v>780</v>
      </c>
    </row>
    <row r="725" spans="1:4" s="281" customFormat="1" ht="15.6" customHeight="1">
      <c r="A725" s="277">
        <v>767</v>
      </c>
      <c r="B725" s="278"/>
      <c r="C725" s="279" t="s">
        <v>1367</v>
      </c>
      <c r="D725" s="280">
        <v>1560</v>
      </c>
    </row>
    <row r="726" spans="1:4" s="281" customFormat="1" ht="15.6" customHeight="1">
      <c r="A726" s="277">
        <v>768</v>
      </c>
      <c r="B726" s="278"/>
      <c r="C726" s="279" t="s">
        <v>1368</v>
      </c>
      <c r="D726" s="280">
        <v>2340</v>
      </c>
    </row>
    <row r="727" spans="1:4" s="281" customFormat="1" ht="15.6" customHeight="1">
      <c r="A727" s="277">
        <v>769</v>
      </c>
      <c r="B727" s="278"/>
      <c r="C727" s="279" t="s">
        <v>1369</v>
      </c>
      <c r="D727" s="280">
        <v>4680</v>
      </c>
    </row>
    <row r="728" spans="1:4" s="281" customFormat="1" ht="15.6" customHeight="1">
      <c r="A728" s="277">
        <v>770</v>
      </c>
      <c r="B728" s="278"/>
      <c r="C728" s="279" t="s">
        <v>1370</v>
      </c>
      <c r="D728" s="280">
        <v>3900</v>
      </c>
    </row>
    <row r="729" spans="1:4" s="281" customFormat="1" ht="15.6" customHeight="1">
      <c r="A729" s="277">
        <v>771</v>
      </c>
      <c r="B729" s="278"/>
      <c r="C729" s="279" t="s">
        <v>1371</v>
      </c>
      <c r="D729" s="280">
        <v>1170</v>
      </c>
    </row>
    <row r="730" spans="1:4" s="281" customFormat="1" ht="15.6" customHeight="1">
      <c r="A730" s="277">
        <v>772</v>
      </c>
      <c r="B730" s="278"/>
      <c r="C730" s="279" t="s">
        <v>1372</v>
      </c>
      <c r="D730" s="280">
        <v>2340</v>
      </c>
    </row>
    <row r="731" spans="1:4" s="281" customFormat="1" ht="15.6" customHeight="1">
      <c r="A731" s="277">
        <v>773</v>
      </c>
      <c r="B731" s="278"/>
      <c r="C731" s="279" t="s">
        <v>1373</v>
      </c>
      <c r="D731" s="280">
        <v>3900</v>
      </c>
    </row>
    <row r="732" spans="1:4" s="281" customFormat="1" ht="15.6" customHeight="1">
      <c r="A732" s="277">
        <v>774</v>
      </c>
      <c r="B732" s="278"/>
      <c r="C732" s="279" t="s">
        <v>1374</v>
      </c>
      <c r="D732" s="280">
        <v>7020</v>
      </c>
    </row>
    <row r="733" spans="1:4" s="281" customFormat="1" ht="15.6" customHeight="1">
      <c r="A733" s="277">
        <v>775</v>
      </c>
      <c r="B733" s="278"/>
      <c r="C733" s="279" t="s">
        <v>1375</v>
      </c>
      <c r="D733" s="280">
        <v>5850</v>
      </c>
    </row>
    <row r="734" spans="1:4" s="281" customFormat="1" ht="15.6" customHeight="1">
      <c r="A734" s="277">
        <v>776</v>
      </c>
      <c r="B734" s="278"/>
      <c r="C734" s="279" t="s">
        <v>1376</v>
      </c>
      <c r="D734" s="280">
        <v>900</v>
      </c>
    </row>
    <row r="735" spans="1:4" s="281" customFormat="1" ht="15.6" customHeight="1">
      <c r="A735" s="277">
        <v>777</v>
      </c>
      <c r="B735" s="278"/>
      <c r="C735" s="279" t="s">
        <v>1377</v>
      </c>
      <c r="D735" s="280">
        <v>1800</v>
      </c>
    </row>
    <row r="736" spans="1:4" s="281" customFormat="1" ht="15.6" customHeight="1">
      <c r="A736" s="277">
        <v>778</v>
      </c>
      <c r="B736" s="278"/>
      <c r="C736" s="279" t="s">
        <v>1378</v>
      </c>
      <c r="D736" s="280">
        <v>2700</v>
      </c>
    </row>
    <row r="737" spans="1:4" s="281" customFormat="1" ht="15.6" customHeight="1">
      <c r="A737" s="277">
        <v>779</v>
      </c>
      <c r="B737" s="278"/>
      <c r="C737" s="279" t="s">
        <v>1379</v>
      </c>
      <c r="D737" s="280">
        <v>5400</v>
      </c>
    </row>
    <row r="738" spans="1:4" s="281" customFormat="1" ht="15.6" customHeight="1">
      <c r="A738" s="277">
        <v>780</v>
      </c>
      <c r="B738" s="278"/>
      <c r="C738" s="279" t="s">
        <v>1380</v>
      </c>
      <c r="D738" s="280">
        <v>4500</v>
      </c>
    </row>
    <row r="739" spans="1:4" s="281" customFormat="1" ht="15.6" customHeight="1">
      <c r="A739" s="277">
        <v>781</v>
      </c>
      <c r="B739" s="278"/>
      <c r="C739" s="279" t="s">
        <v>1381</v>
      </c>
      <c r="D739" s="280">
        <v>1350</v>
      </c>
    </row>
    <row r="740" spans="1:4" s="281" customFormat="1" ht="15.6" customHeight="1">
      <c r="A740" s="277">
        <v>782</v>
      </c>
      <c r="B740" s="278"/>
      <c r="C740" s="279" t="s">
        <v>1382</v>
      </c>
      <c r="D740" s="280">
        <v>2700</v>
      </c>
    </row>
    <row r="741" spans="1:4" s="281" customFormat="1" ht="15.6" customHeight="1">
      <c r="A741" s="277">
        <v>783</v>
      </c>
      <c r="B741" s="278"/>
      <c r="C741" s="279" t="s">
        <v>1383</v>
      </c>
      <c r="D741" s="280">
        <v>4500</v>
      </c>
    </row>
    <row r="742" spans="1:4" s="281" customFormat="1" ht="15.6" customHeight="1">
      <c r="A742" s="277">
        <v>784</v>
      </c>
      <c r="B742" s="278"/>
      <c r="C742" s="279" t="s">
        <v>1384</v>
      </c>
      <c r="D742" s="280">
        <v>8100</v>
      </c>
    </row>
    <row r="743" spans="1:4" s="281" customFormat="1" ht="15.6" customHeight="1">
      <c r="A743" s="277">
        <v>785</v>
      </c>
      <c r="B743" s="278"/>
      <c r="C743" s="279" t="s">
        <v>1385</v>
      </c>
      <c r="D743" s="280">
        <v>6750</v>
      </c>
    </row>
    <row r="744" spans="1:4" s="233" customFormat="1" ht="15.6" customHeight="1">
      <c r="A744" s="25">
        <v>786</v>
      </c>
      <c r="B744" s="49"/>
      <c r="C744" s="47" t="s">
        <v>1389</v>
      </c>
      <c r="D744" s="35">
        <v>850</v>
      </c>
    </row>
    <row r="745" spans="1:4" s="233" customFormat="1" ht="15.6" customHeight="1">
      <c r="A745" s="51">
        <v>787</v>
      </c>
      <c r="B745" s="37" t="s">
        <v>1398</v>
      </c>
      <c r="C745" s="47" t="s">
        <v>1402</v>
      </c>
      <c r="D745" s="35">
        <v>4300</v>
      </c>
    </row>
    <row r="746" spans="1:4" s="233" customFormat="1" ht="15.6" customHeight="1">
      <c r="A746" s="51">
        <v>788</v>
      </c>
      <c r="B746" s="37" t="s">
        <v>1399</v>
      </c>
      <c r="C746" s="47" t="s">
        <v>1402</v>
      </c>
      <c r="D746" s="35">
        <v>5700</v>
      </c>
    </row>
    <row r="747" spans="1:4" s="233" customFormat="1" ht="15.6" customHeight="1">
      <c r="A747" s="51">
        <v>789</v>
      </c>
      <c r="B747" s="37" t="s">
        <v>1400</v>
      </c>
      <c r="C747" s="47" t="s">
        <v>1396</v>
      </c>
      <c r="D747" s="35">
        <v>900</v>
      </c>
    </row>
    <row r="748" spans="1:4" s="233" customFormat="1" ht="15.6" customHeight="1">
      <c r="A748" s="51">
        <v>790</v>
      </c>
      <c r="B748" s="37" t="s">
        <v>1397</v>
      </c>
      <c r="C748" s="47" t="s">
        <v>1403</v>
      </c>
      <c r="D748" s="35">
        <v>800</v>
      </c>
    </row>
    <row r="749" spans="1:4" s="336" customFormat="1" ht="16.95" customHeight="1">
      <c r="A749" s="51">
        <v>791</v>
      </c>
      <c r="B749" s="47"/>
      <c r="C749" s="47" t="s">
        <v>1404</v>
      </c>
      <c r="D749" s="35">
        <v>6300</v>
      </c>
    </row>
    <row r="750" spans="1:4" s="336" customFormat="1" ht="31.2" customHeight="1">
      <c r="A750" s="51">
        <v>792</v>
      </c>
      <c r="B750" s="47"/>
      <c r="C750" s="47" t="s">
        <v>1409</v>
      </c>
      <c r="D750" s="35">
        <v>60</v>
      </c>
    </row>
    <row r="751" spans="1:4" s="336" customFormat="1" ht="31.2" customHeight="1">
      <c r="A751" s="51">
        <v>793</v>
      </c>
      <c r="B751" s="47"/>
      <c r="C751" s="47" t="s">
        <v>1412</v>
      </c>
      <c r="D751" s="35">
        <v>10</v>
      </c>
    </row>
    <row r="752" spans="1:4" ht="16.95" customHeight="1">
      <c r="A752" s="363">
        <v>794</v>
      </c>
      <c r="B752" s="37" t="s">
        <v>1416</v>
      </c>
      <c r="C752" s="47" t="s">
        <v>1422</v>
      </c>
      <c r="D752" s="365">
        <v>16800</v>
      </c>
    </row>
    <row r="753" spans="1:4" ht="16.95" customHeight="1">
      <c r="A753" s="364"/>
      <c r="B753" s="37" t="s">
        <v>1417</v>
      </c>
      <c r="C753" s="47" t="s">
        <v>1423</v>
      </c>
      <c r="D753" s="366"/>
    </row>
    <row r="754" spans="1:4" ht="16.95" customHeight="1">
      <c r="A754" s="363">
        <v>795</v>
      </c>
      <c r="B754" s="37" t="s">
        <v>1416</v>
      </c>
      <c r="C754" s="47" t="s">
        <v>1424</v>
      </c>
      <c r="D754" s="365">
        <v>16800</v>
      </c>
    </row>
    <row r="755" spans="1:4" ht="16.95" customHeight="1">
      <c r="A755" s="364"/>
      <c r="B755" s="37" t="s">
        <v>1417</v>
      </c>
      <c r="C755" s="47" t="s">
        <v>1425</v>
      </c>
      <c r="D755" s="366"/>
    </row>
    <row r="756" spans="1:4" ht="16.95" customHeight="1">
      <c r="A756" s="363">
        <v>796</v>
      </c>
      <c r="B756" s="37" t="s">
        <v>1418</v>
      </c>
      <c r="C756" s="47" t="s">
        <v>1419</v>
      </c>
      <c r="D756" s="365">
        <v>18000</v>
      </c>
    </row>
    <row r="757" spans="1:4" ht="16.95" customHeight="1">
      <c r="A757" s="364"/>
      <c r="B757" s="37" t="s">
        <v>1420</v>
      </c>
      <c r="C757" s="47" t="s">
        <v>1421</v>
      </c>
      <c r="D757" s="366"/>
    </row>
    <row r="758" spans="1:4" ht="16.95" customHeight="1">
      <c r="A758" s="363">
        <v>797</v>
      </c>
      <c r="B758" s="37" t="s">
        <v>1426</v>
      </c>
      <c r="C758" s="47" t="s">
        <v>1427</v>
      </c>
      <c r="D758" s="365">
        <v>18000</v>
      </c>
    </row>
    <row r="759" spans="1:4" ht="16.95" customHeight="1">
      <c r="A759" s="364"/>
      <c r="B759" s="37" t="s">
        <v>1428</v>
      </c>
      <c r="C759" s="47" t="s">
        <v>1429</v>
      </c>
      <c r="D759" s="366"/>
    </row>
    <row r="760" spans="1:4" ht="16.95" customHeight="1">
      <c r="A760" s="363">
        <v>798</v>
      </c>
      <c r="B760" s="37" t="s">
        <v>1430</v>
      </c>
      <c r="C760" s="47" t="s">
        <v>1432</v>
      </c>
      <c r="D760" s="365">
        <v>19700</v>
      </c>
    </row>
    <row r="761" spans="1:4" ht="16.95" customHeight="1">
      <c r="A761" s="364"/>
      <c r="B761" s="37" t="s">
        <v>1431</v>
      </c>
      <c r="C761" s="47" t="s">
        <v>1433</v>
      </c>
      <c r="D761" s="366"/>
    </row>
    <row r="762" spans="1:4" ht="37.200000000000003" customHeight="1">
      <c r="A762" s="343">
        <v>799</v>
      </c>
      <c r="B762" s="37" t="s">
        <v>1435</v>
      </c>
      <c r="C762" s="47" t="s">
        <v>1434</v>
      </c>
      <c r="D762" s="35">
        <v>5700</v>
      </c>
    </row>
    <row r="763" spans="1:4" ht="16.95" customHeight="1">
      <c r="A763" s="341">
        <v>800</v>
      </c>
      <c r="B763" s="362" t="s">
        <v>402</v>
      </c>
      <c r="C763" s="344" t="s">
        <v>1438</v>
      </c>
      <c r="D763" s="339">
        <v>2337</v>
      </c>
    </row>
    <row r="764" spans="1:4" ht="16.95" customHeight="1">
      <c r="A764" s="341">
        <v>801</v>
      </c>
      <c r="B764" s="362" t="s">
        <v>404</v>
      </c>
      <c r="C764" s="344" t="s">
        <v>1439</v>
      </c>
      <c r="D764" s="339">
        <v>6671</v>
      </c>
    </row>
    <row r="765" spans="1:4" ht="16.95" customHeight="1">
      <c r="A765" s="341">
        <v>802</v>
      </c>
      <c r="B765" s="362" t="s">
        <v>412</v>
      </c>
      <c r="C765" s="344" t="s">
        <v>1440</v>
      </c>
      <c r="D765" s="339">
        <v>579</v>
      </c>
    </row>
    <row r="766" spans="1:4" ht="16.95" customHeight="1">
      <c r="A766" s="341">
        <v>803</v>
      </c>
      <c r="B766" s="362" t="s">
        <v>414</v>
      </c>
      <c r="C766" s="344" t="s">
        <v>1441</v>
      </c>
      <c r="D766" s="339">
        <v>305</v>
      </c>
    </row>
    <row r="767" spans="1:4" ht="16.95" customHeight="1">
      <c r="A767" s="341">
        <v>804</v>
      </c>
      <c r="B767" s="362" t="s">
        <v>416</v>
      </c>
      <c r="C767" s="344" t="s">
        <v>1442</v>
      </c>
      <c r="D767" s="339">
        <v>1168</v>
      </c>
    </row>
  </sheetData>
  <mergeCells count="12">
    <mergeCell ref="B21:D21"/>
    <mergeCell ref="A752:A753"/>
    <mergeCell ref="D752:D753"/>
    <mergeCell ref="A754:A755"/>
    <mergeCell ref="D754:D755"/>
    <mergeCell ref="C22:D22"/>
    <mergeCell ref="A756:A757"/>
    <mergeCell ref="D756:D757"/>
    <mergeCell ref="A758:A759"/>
    <mergeCell ref="D758:D759"/>
    <mergeCell ref="A760:A761"/>
    <mergeCell ref="D760:D761"/>
  </mergeCells>
  <conditionalFormatting sqref="B763">
    <cfRule type="expression" dxfId="4" priority="5">
      <formula>IF(AND(LEN($A763)&gt;=6,LEN($A763)&lt;=7),TRUE,FALSE)</formula>
    </cfRule>
  </conditionalFormatting>
  <conditionalFormatting sqref="B764">
    <cfRule type="expression" dxfId="3" priority="4">
      <formula>IF(AND(LEN($A764)&gt;=6,LEN($A764)&lt;=7),TRUE,FALSE)</formula>
    </cfRule>
  </conditionalFormatting>
  <conditionalFormatting sqref="B765">
    <cfRule type="expression" dxfId="2" priority="3">
      <formula>IF(AND(LEN($A765)&gt;=6,LEN($A765)&lt;=7),TRUE,FALSE)</formula>
    </cfRule>
  </conditionalFormatting>
  <conditionalFormatting sqref="B766">
    <cfRule type="expression" dxfId="1" priority="2">
      <formula>IF(AND(LEN($A766)&gt;=6,LEN($A766)&lt;=7),TRUE,FALSE)</formula>
    </cfRule>
  </conditionalFormatting>
  <conditionalFormatting sqref="B767">
    <cfRule type="expression" dxfId="0" priority="1">
      <formula>IF(AND(LEN($A767)&gt;=6,LEN($A767)&lt;=7),TRUE,FALSE)</formula>
    </cfRule>
  </conditionalFormatting>
  <hyperlinks>
    <hyperlink ref="B762" r:id="rId1" display="http://zdravmedinform.ru/nomenclatura-meditcinskikh-uslug/a16.07.002.011.html"/>
  </hyperlinks>
  <pageMargins left="0.59" right="0.48" top="0.47" bottom="0.34" header="0.31496062992125984" footer="0.31496062992125984"/>
  <pageSetup paperSize="9" scale="87" fitToHeight="0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6"/>
  <sheetViews>
    <sheetView topLeftCell="A4" workbookViewId="0">
      <pane ySplit="6" topLeftCell="A10" activePane="bottomLeft" state="frozen"/>
      <selection activeCell="A4" sqref="A4"/>
      <selection pane="bottomLeft" activeCell="A19" sqref="A19:XFD476"/>
    </sheetView>
  </sheetViews>
  <sheetFormatPr defaultColWidth="9.109375" defaultRowHeight="13.2"/>
  <cols>
    <col min="1" max="1" width="3.5546875" style="60" customWidth="1"/>
    <col min="2" max="2" width="29.6640625" style="60" customWidth="1"/>
    <col min="3" max="3" width="12.33203125" style="61" customWidth="1"/>
    <col min="4" max="4" width="10.44140625" style="61" customWidth="1"/>
    <col min="5" max="5" width="13.6640625" style="61" customWidth="1"/>
    <col min="6" max="6" width="9" style="61" customWidth="1"/>
    <col min="7" max="7" width="9.6640625" style="61" customWidth="1"/>
    <col min="8" max="8" width="10.5546875" style="63" customWidth="1"/>
    <col min="9" max="9" width="12.88671875" style="61" customWidth="1"/>
    <col min="10" max="10" width="8.44140625" style="61" customWidth="1"/>
    <col min="11" max="11" width="12.44140625" style="61" customWidth="1"/>
    <col min="12" max="12" width="5.5546875" style="60" customWidth="1"/>
    <col min="13" max="13" width="9.44140625" style="60" customWidth="1"/>
    <col min="14" max="14" width="8.21875" style="60" customWidth="1"/>
    <col min="15" max="15" width="11.33203125" style="60" hidden="1" customWidth="1"/>
    <col min="16" max="16" width="11.5546875" style="60" hidden="1" customWidth="1"/>
    <col min="17" max="17" width="0" style="60" hidden="1" customWidth="1"/>
    <col min="18" max="18" width="21.77734375" style="60" customWidth="1"/>
    <col min="19" max="256" width="9.109375" style="60"/>
    <col min="257" max="257" width="3.5546875" style="60" customWidth="1"/>
    <col min="258" max="258" width="29.6640625" style="60" customWidth="1"/>
    <col min="259" max="259" width="12.33203125" style="60" customWidth="1"/>
    <col min="260" max="260" width="10.44140625" style="60" customWidth="1"/>
    <col min="261" max="261" width="13.6640625" style="60" customWidth="1"/>
    <col min="262" max="262" width="9" style="60" customWidth="1"/>
    <col min="263" max="263" width="9.6640625" style="60" customWidth="1"/>
    <col min="264" max="264" width="10.5546875" style="60" customWidth="1"/>
    <col min="265" max="265" width="9" style="60" customWidth="1"/>
    <col min="266" max="266" width="8.44140625" style="60" customWidth="1"/>
    <col min="267" max="267" width="12.44140625" style="60" customWidth="1"/>
    <col min="268" max="268" width="5.5546875" style="60" customWidth="1"/>
    <col min="269" max="269" width="9.44140625" style="60" customWidth="1"/>
    <col min="270" max="270" width="9" style="60" customWidth="1"/>
    <col min="271" max="271" width="9.109375" style="60"/>
    <col min="272" max="272" width="11.5546875" style="60" bestFit="1" customWidth="1"/>
    <col min="273" max="273" width="9.109375" style="60"/>
    <col min="274" max="274" width="10.5546875" style="60" bestFit="1" customWidth="1"/>
    <col min="275" max="512" width="9.109375" style="60"/>
    <col min="513" max="513" width="3.5546875" style="60" customWidth="1"/>
    <col min="514" max="514" width="29.6640625" style="60" customWidth="1"/>
    <col min="515" max="515" width="12.33203125" style="60" customWidth="1"/>
    <col min="516" max="516" width="10.44140625" style="60" customWidth="1"/>
    <col min="517" max="517" width="13.6640625" style="60" customWidth="1"/>
    <col min="518" max="518" width="9" style="60" customWidth="1"/>
    <col min="519" max="519" width="9.6640625" style="60" customWidth="1"/>
    <col min="520" max="520" width="10.5546875" style="60" customWidth="1"/>
    <col min="521" max="521" width="9" style="60" customWidth="1"/>
    <col min="522" max="522" width="8.44140625" style="60" customWidth="1"/>
    <col min="523" max="523" width="12.44140625" style="60" customWidth="1"/>
    <col min="524" max="524" width="5.5546875" style="60" customWidth="1"/>
    <col min="525" max="525" width="9.44140625" style="60" customWidth="1"/>
    <col min="526" max="526" width="9" style="60" customWidth="1"/>
    <col min="527" max="527" width="9.109375" style="60"/>
    <col min="528" max="528" width="11.5546875" style="60" bestFit="1" customWidth="1"/>
    <col min="529" max="529" width="9.109375" style="60"/>
    <col min="530" max="530" width="10.5546875" style="60" bestFit="1" customWidth="1"/>
    <col min="531" max="768" width="9.109375" style="60"/>
    <col min="769" max="769" width="3.5546875" style="60" customWidth="1"/>
    <col min="770" max="770" width="29.6640625" style="60" customWidth="1"/>
    <col min="771" max="771" width="12.33203125" style="60" customWidth="1"/>
    <col min="772" max="772" width="10.44140625" style="60" customWidth="1"/>
    <col min="773" max="773" width="13.6640625" style="60" customWidth="1"/>
    <col min="774" max="774" width="9" style="60" customWidth="1"/>
    <col min="775" max="775" width="9.6640625" style="60" customWidth="1"/>
    <col min="776" max="776" width="10.5546875" style="60" customWidth="1"/>
    <col min="777" max="777" width="9" style="60" customWidth="1"/>
    <col min="778" max="778" width="8.44140625" style="60" customWidth="1"/>
    <col min="779" max="779" width="12.44140625" style="60" customWidth="1"/>
    <col min="780" max="780" width="5.5546875" style="60" customWidth="1"/>
    <col min="781" max="781" width="9.44140625" style="60" customWidth="1"/>
    <col min="782" max="782" width="9" style="60" customWidth="1"/>
    <col min="783" max="783" width="9.109375" style="60"/>
    <col min="784" max="784" width="11.5546875" style="60" bestFit="1" customWidth="1"/>
    <col min="785" max="785" width="9.109375" style="60"/>
    <col min="786" max="786" width="10.5546875" style="60" bestFit="1" customWidth="1"/>
    <col min="787" max="1024" width="9.109375" style="60"/>
    <col min="1025" max="1025" width="3.5546875" style="60" customWidth="1"/>
    <col min="1026" max="1026" width="29.6640625" style="60" customWidth="1"/>
    <col min="1027" max="1027" width="12.33203125" style="60" customWidth="1"/>
    <col min="1028" max="1028" width="10.44140625" style="60" customWidth="1"/>
    <col min="1029" max="1029" width="13.6640625" style="60" customWidth="1"/>
    <col min="1030" max="1030" width="9" style="60" customWidth="1"/>
    <col min="1031" max="1031" width="9.6640625" style="60" customWidth="1"/>
    <col min="1032" max="1032" width="10.5546875" style="60" customWidth="1"/>
    <col min="1033" max="1033" width="9" style="60" customWidth="1"/>
    <col min="1034" max="1034" width="8.44140625" style="60" customWidth="1"/>
    <col min="1035" max="1035" width="12.44140625" style="60" customWidth="1"/>
    <col min="1036" max="1036" width="5.5546875" style="60" customWidth="1"/>
    <col min="1037" max="1037" width="9.44140625" style="60" customWidth="1"/>
    <col min="1038" max="1038" width="9" style="60" customWidth="1"/>
    <col min="1039" max="1039" width="9.109375" style="60"/>
    <col min="1040" max="1040" width="11.5546875" style="60" bestFit="1" customWidth="1"/>
    <col min="1041" max="1041" width="9.109375" style="60"/>
    <col min="1042" max="1042" width="10.5546875" style="60" bestFit="1" customWidth="1"/>
    <col min="1043" max="1280" width="9.109375" style="60"/>
    <col min="1281" max="1281" width="3.5546875" style="60" customWidth="1"/>
    <col min="1282" max="1282" width="29.6640625" style="60" customWidth="1"/>
    <col min="1283" max="1283" width="12.33203125" style="60" customWidth="1"/>
    <col min="1284" max="1284" width="10.44140625" style="60" customWidth="1"/>
    <col min="1285" max="1285" width="13.6640625" style="60" customWidth="1"/>
    <col min="1286" max="1286" width="9" style="60" customWidth="1"/>
    <col min="1287" max="1287" width="9.6640625" style="60" customWidth="1"/>
    <col min="1288" max="1288" width="10.5546875" style="60" customWidth="1"/>
    <col min="1289" max="1289" width="9" style="60" customWidth="1"/>
    <col min="1290" max="1290" width="8.44140625" style="60" customWidth="1"/>
    <col min="1291" max="1291" width="12.44140625" style="60" customWidth="1"/>
    <col min="1292" max="1292" width="5.5546875" style="60" customWidth="1"/>
    <col min="1293" max="1293" width="9.44140625" style="60" customWidth="1"/>
    <col min="1294" max="1294" width="9" style="60" customWidth="1"/>
    <col min="1295" max="1295" width="9.109375" style="60"/>
    <col min="1296" max="1296" width="11.5546875" style="60" bestFit="1" customWidth="1"/>
    <col min="1297" max="1297" width="9.109375" style="60"/>
    <col min="1298" max="1298" width="10.5546875" style="60" bestFit="1" customWidth="1"/>
    <col min="1299" max="1536" width="9.109375" style="60"/>
    <col min="1537" max="1537" width="3.5546875" style="60" customWidth="1"/>
    <col min="1538" max="1538" width="29.6640625" style="60" customWidth="1"/>
    <col min="1539" max="1539" width="12.33203125" style="60" customWidth="1"/>
    <col min="1540" max="1540" width="10.44140625" style="60" customWidth="1"/>
    <col min="1541" max="1541" width="13.6640625" style="60" customWidth="1"/>
    <col min="1542" max="1542" width="9" style="60" customWidth="1"/>
    <col min="1543" max="1543" width="9.6640625" style="60" customWidth="1"/>
    <col min="1544" max="1544" width="10.5546875" style="60" customWidth="1"/>
    <col min="1545" max="1545" width="9" style="60" customWidth="1"/>
    <col min="1546" max="1546" width="8.44140625" style="60" customWidth="1"/>
    <col min="1547" max="1547" width="12.44140625" style="60" customWidth="1"/>
    <col min="1548" max="1548" width="5.5546875" style="60" customWidth="1"/>
    <col min="1549" max="1549" width="9.44140625" style="60" customWidth="1"/>
    <col min="1550" max="1550" width="9" style="60" customWidth="1"/>
    <col min="1551" max="1551" width="9.109375" style="60"/>
    <col min="1552" max="1552" width="11.5546875" style="60" bestFit="1" customWidth="1"/>
    <col min="1553" max="1553" width="9.109375" style="60"/>
    <col min="1554" max="1554" width="10.5546875" style="60" bestFit="1" customWidth="1"/>
    <col min="1555" max="1792" width="9.109375" style="60"/>
    <col min="1793" max="1793" width="3.5546875" style="60" customWidth="1"/>
    <col min="1794" max="1794" width="29.6640625" style="60" customWidth="1"/>
    <col min="1795" max="1795" width="12.33203125" style="60" customWidth="1"/>
    <col min="1796" max="1796" width="10.44140625" style="60" customWidth="1"/>
    <col min="1797" max="1797" width="13.6640625" style="60" customWidth="1"/>
    <col min="1798" max="1798" width="9" style="60" customWidth="1"/>
    <col min="1799" max="1799" width="9.6640625" style="60" customWidth="1"/>
    <col min="1800" max="1800" width="10.5546875" style="60" customWidth="1"/>
    <col min="1801" max="1801" width="9" style="60" customWidth="1"/>
    <col min="1802" max="1802" width="8.44140625" style="60" customWidth="1"/>
    <col min="1803" max="1803" width="12.44140625" style="60" customWidth="1"/>
    <col min="1804" max="1804" width="5.5546875" style="60" customWidth="1"/>
    <col min="1805" max="1805" width="9.44140625" style="60" customWidth="1"/>
    <col min="1806" max="1806" width="9" style="60" customWidth="1"/>
    <col min="1807" max="1807" width="9.109375" style="60"/>
    <col min="1808" max="1808" width="11.5546875" style="60" bestFit="1" customWidth="1"/>
    <col min="1809" max="1809" width="9.109375" style="60"/>
    <col min="1810" max="1810" width="10.5546875" style="60" bestFit="1" customWidth="1"/>
    <col min="1811" max="2048" width="9.109375" style="60"/>
    <col min="2049" max="2049" width="3.5546875" style="60" customWidth="1"/>
    <col min="2050" max="2050" width="29.6640625" style="60" customWidth="1"/>
    <col min="2051" max="2051" width="12.33203125" style="60" customWidth="1"/>
    <col min="2052" max="2052" width="10.44140625" style="60" customWidth="1"/>
    <col min="2053" max="2053" width="13.6640625" style="60" customWidth="1"/>
    <col min="2054" max="2054" width="9" style="60" customWidth="1"/>
    <col min="2055" max="2055" width="9.6640625" style="60" customWidth="1"/>
    <col min="2056" max="2056" width="10.5546875" style="60" customWidth="1"/>
    <col min="2057" max="2057" width="9" style="60" customWidth="1"/>
    <col min="2058" max="2058" width="8.44140625" style="60" customWidth="1"/>
    <col min="2059" max="2059" width="12.44140625" style="60" customWidth="1"/>
    <col min="2060" max="2060" width="5.5546875" style="60" customWidth="1"/>
    <col min="2061" max="2061" width="9.44140625" style="60" customWidth="1"/>
    <col min="2062" max="2062" width="9" style="60" customWidth="1"/>
    <col min="2063" max="2063" width="9.109375" style="60"/>
    <col min="2064" max="2064" width="11.5546875" style="60" bestFit="1" customWidth="1"/>
    <col min="2065" max="2065" width="9.109375" style="60"/>
    <col min="2066" max="2066" width="10.5546875" style="60" bestFit="1" customWidth="1"/>
    <col min="2067" max="2304" width="9.109375" style="60"/>
    <col min="2305" max="2305" width="3.5546875" style="60" customWidth="1"/>
    <col min="2306" max="2306" width="29.6640625" style="60" customWidth="1"/>
    <col min="2307" max="2307" width="12.33203125" style="60" customWidth="1"/>
    <col min="2308" max="2308" width="10.44140625" style="60" customWidth="1"/>
    <col min="2309" max="2309" width="13.6640625" style="60" customWidth="1"/>
    <col min="2310" max="2310" width="9" style="60" customWidth="1"/>
    <col min="2311" max="2311" width="9.6640625" style="60" customWidth="1"/>
    <col min="2312" max="2312" width="10.5546875" style="60" customWidth="1"/>
    <col min="2313" max="2313" width="9" style="60" customWidth="1"/>
    <col min="2314" max="2314" width="8.44140625" style="60" customWidth="1"/>
    <col min="2315" max="2315" width="12.44140625" style="60" customWidth="1"/>
    <col min="2316" max="2316" width="5.5546875" style="60" customWidth="1"/>
    <col min="2317" max="2317" width="9.44140625" style="60" customWidth="1"/>
    <col min="2318" max="2318" width="9" style="60" customWidth="1"/>
    <col min="2319" max="2319" width="9.109375" style="60"/>
    <col min="2320" max="2320" width="11.5546875" style="60" bestFit="1" customWidth="1"/>
    <col min="2321" max="2321" width="9.109375" style="60"/>
    <col min="2322" max="2322" width="10.5546875" style="60" bestFit="1" customWidth="1"/>
    <col min="2323" max="2560" width="9.109375" style="60"/>
    <col min="2561" max="2561" width="3.5546875" style="60" customWidth="1"/>
    <col min="2562" max="2562" width="29.6640625" style="60" customWidth="1"/>
    <col min="2563" max="2563" width="12.33203125" style="60" customWidth="1"/>
    <col min="2564" max="2564" width="10.44140625" style="60" customWidth="1"/>
    <col min="2565" max="2565" width="13.6640625" style="60" customWidth="1"/>
    <col min="2566" max="2566" width="9" style="60" customWidth="1"/>
    <col min="2567" max="2567" width="9.6640625" style="60" customWidth="1"/>
    <col min="2568" max="2568" width="10.5546875" style="60" customWidth="1"/>
    <col min="2569" max="2569" width="9" style="60" customWidth="1"/>
    <col min="2570" max="2570" width="8.44140625" style="60" customWidth="1"/>
    <col min="2571" max="2571" width="12.44140625" style="60" customWidth="1"/>
    <col min="2572" max="2572" width="5.5546875" style="60" customWidth="1"/>
    <col min="2573" max="2573" width="9.44140625" style="60" customWidth="1"/>
    <col min="2574" max="2574" width="9" style="60" customWidth="1"/>
    <col min="2575" max="2575" width="9.109375" style="60"/>
    <col min="2576" max="2576" width="11.5546875" style="60" bestFit="1" customWidth="1"/>
    <col min="2577" max="2577" width="9.109375" style="60"/>
    <col min="2578" max="2578" width="10.5546875" style="60" bestFit="1" customWidth="1"/>
    <col min="2579" max="2816" width="9.109375" style="60"/>
    <col min="2817" max="2817" width="3.5546875" style="60" customWidth="1"/>
    <col min="2818" max="2818" width="29.6640625" style="60" customWidth="1"/>
    <col min="2819" max="2819" width="12.33203125" style="60" customWidth="1"/>
    <col min="2820" max="2820" width="10.44140625" style="60" customWidth="1"/>
    <col min="2821" max="2821" width="13.6640625" style="60" customWidth="1"/>
    <col min="2822" max="2822" width="9" style="60" customWidth="1"/>
    <col min="2823" max="2823" width="9.6640625" style="60" customWidth="1"/>
    <col min="2824" max="2824" width="10.5546875" style="60" customWidth="1"/>
    <col min="2825" max="2825" width="9" style="60" customWidth="1"/>
    <col min="2826" max="2826" width="8.44140625" style="60" customWidth="1"/>
    <col min="2827" max="2827" width="12.44140625" style="60" customWidth="1"/>
    <col min="2828" max="2828" width="5.5546875" style="60" customWidth="1"/>
    <col min="2829" max="2829" width="9.44140625" style="60" customWidth="1"/>
    <col min="2830" max="2830" width="9" style="60" customWidth="1"/>
    <col min="2831" max="2831" width="9.109375" style="60"/>
    <col min="2832" max="2832" width="11.5546875" style="60" bestFit="1" customWidth="1"/>
    <col min="2833" max="2833" width="9.109375" style="60"/>
    <col min="2834" max="2834" width="10.5546875" style="60" bestFit="1" customWidth="1"/>
    <col min="2835" max="3072" width="9.109375" style="60"/>
    <col min="3073" max="3073" width="3.5546875" style="60" customWidth="1"/>
    <col min="3074" max="3074" width="29.6640625" style="60" customWidth="1"/>
    <col min="3075" max="3075" width="12.33203125" style="60" customWidth="1"/>
    <col min="3076" max="3076" width="10.44140625" style="60" customWidth="1"/>
    <col min="3077" max="3077" width="13.6640625" style="60" customWidth="1"/>
    <col min="3078" max="3078" width="9" style="60" customWidth="1"/>
    <col min="3079" max="3079" width="9.6640625" style="60" customWidth="1"/>
    <col min="3080" max="3080" width="10.5546875" style="60" customWidth="1"/>
    <col min="3081" max="3081" width="9" style="60" customWidth="1"/>
    <col min="3082" max="3082" width="8.44140625" style="60" customWidth="1"/>
    <col min="3083" max="3083" width="12.44140625" style="60" customWidth="1"/>
    <col min="3084" max="3084" width="5.5546875" style="60" customWidth="1"/>
    <col min="3085" max="3085" width="9.44140625" style="60" customWidth="1"/>
    <col min="3086" max="3086" width="9" style="60" customWidth="1"/>
    <col min="3087" max="3087" width="9.109375" style="60"/>
    <col min="3088" max="3088" width="11.5546875" style="60" bestFit="1" customWidth="1"/>
    <col min="3089" max="3089" width="9.109375" style="60"/>
    <col min="3090" max="3090" width="10.5546875" style="60" bestFit="1" customWidth="1"/>
    <col min="3091" max="3328" width="9.109375" style="60"/>
    <col min="3329" max="3329" width="3.5546875" style="60" customWidth="1"/>
    <col min="3330" max="3330" width="29.6640625" style="60" customWidth="1"/>
    <col min="3331" max="3331" width="12.33203125" style="60" customWidth="1"/>
    <col min="3332" max="3332" width="10.44140625" style="60" customWidth="1"/>
    <col min="3333" max="3333" width="13.6640625" style="60" customWidth="1"/>
    <col min="3334" max="3334" width="9" style="60" customWidth="1"/>
    <col min="3335" max="3335" width="9.6640625" style="60" customWidth="1"/>
    <col min="3336" max="3336" width="10.5546875" style="60" customWidth="1"/>
    <col min="3337" max="3337" width="9" style="60" customWidth="1"/>
    <col min="3338" max="3338" width="8.44140625" style="60" customWidth="1"/>
    <col min="3339" max="3339" width="12.44140625" style="60" customWidth="1"/>
    <col min="3340" max="3340" width="5.5546875" style="60" customWidth="1"/>
    <col min="3341" max="3341" width="9.44140625" style="60" customWidth="1"/>
    <col min="3342" max="3342" width="9" style="60" customWidth="1"/>
    <col min="3343" max="3343" width="9.109375" style="60"/>
    <col min="3344" max="3344" width="11.5546875" style="60" bestFit="1" customWidth="1"/>
    <col min="3345" max="3345" width="9.109375" style="60"/>
    <col min="3346" max="3346" width="10.5546875" style="60" bestFit="1" customWidth="1"/>
    <col min="3347" max="3584" width="9.109375" style="60"/>
    <col min="3585" max="3585" width="3.5546875" style="60" customWidth="1"/>
    <col min="3586" max="3586" width="29.6640625" style="60" customWidth="1"/>
    <col min="3587" max="3587" width="12.33203125" style="60" customWidth="1"/>
    <col min="3588" max="3588" width="10.44140625" style="60" customWidth="1"/>
    <col min="3589" max="3589" width="13.6640625" style="60" customWidth="1"/>
    <col min="3590" max="3590" width="9" style="60" customWidth="1"/>
    <col min="3591" max="3591" width="9.6640625" style="60" customWidth="1"/>
    <col min="3592" max="3592" width="10.5546875" style="60" customWidth="1"/>
    <col min="3593" max="3593" width="9" style="60" customWidth="1"/>
    <col min="3594" max="3594" width="8.44140625" style="60" customWidth="1"/>
    <col min="3595" max="3595" width="12.44140625" style="60" customWidth="1"/>
    <col min="3596" max="3596" width="5.5546875" style="60" customWidth="1"/>
    <col min="3597" max="3597" width="9.44140625" style="60" customWidth="1"/>
    <col min="3598" max="3598" width="9" style="60" customWidth="1"/>
    <col min="3599" max="3599" width="9.109375" style="60"/>
    <col min="3600" max="3600" width="11.5546875" style="60" bestFit="1" customWidth="1"/>
    <col min="3601" max="3601" width="9.109375" style="60"/>
    <col min="3602" max="3602" width="10.5546875" style="60" bestFit="1" customWidth="1"/>
    <col min="3603" max="3840" width="9.109375" style="60"/>
    <col min="3841" max="3841" width="3.5546875" style="60" customWidth="1"/>
    <col min="3842" max="3842" width="29.6640625" style="60" customWidth="1"/>
    <col min="3843" max="3843" width="12.33203125" style="60" customWidth="1"/>
    <col min="3844" max="3844" width="10.44140625" style="60" customWidth="1"/>
    <col min="3845" max="3845" width="13.6640625" style="60" customWidth="1"/>
    <col min="3846" max="3846" width="9" style="60" customWidth="1"/>
    <col min="3847" max="3847" width="9.6640625" style="60" customWidth="1"/>
    <col min="3848" max="3848" width="10.5546875" style="60" customWidth="1"/>
    <col min="3849" max="3849" width="9" style="60" customWidth="1"/>
    <col min="3850" max="3850" width="8.44140625" style="60" customWidth="1"/>
    <col min="3851" max="3851" width="12.44140625" style="60" customWidth="1"/>
    <col min="3852" max="3852" width="5.5546875" style="60" customWidth="1"/>
    <col min="3853" max="3853" width="9.44140625" style="60" customWidth="1"/>
    <col min="3854" max="3854" width="9" style="60" customWidth="1"/>
    <col min="3855" max="3855" width="9.109375" style="60"/>
    <col min="3856" max="3856" width="11.5546875" style="60" bestFit="1" customWidth="1"/>
    <col min="3857" max="3857" width="9.109375" style="60"/>
    <col min="3858" max="3858" width="10.5546875" style="60" bestFit="1" customWidth="1"/>
    <col min="3859" max="4096" width="9.109375" style="60"/>
    <col min="4097" max="4097" width="3.5546875" style="60" customWidth="1"/>
    <col min="4098" max="4098" width="29.6640625" style="60" customWidth="1"/>
    <col min="4099" max="4099" width="12.33203125" style="60" customWidth="1"/>
    <col min="4100" max="4100" width="10.44140625" style="60" customWidth="1"/>
    <col min="4101" max="4101" width="13.6640625" style="60" customWidth="1"/>
    <col min="4102" max="4102" width="9" style="60" customWidth="1"/>
    <col min="4103" max="4103" width="9.6640625" style="60" customWidth="1"/>
    <col min="4104" max="4104" width="10.5546875" style="60" customWidth="1"/>
    <col min="4105" max="4105" width="9" style="60" customWidth="1"/>
    <col min="4106" max="4106" width="8.44140625" style="60" customWidth="1"/>
    <col min="4107" max="4107" width="12.44140625" style="60" customWidth="1"/>
    <col min="4108" max="4108" width="5.5546875" style="60" customWidth="1"/>
    <col min="4109" max="4109" width="9.44140625" style="60" customWidth="1"/>
    <col min="4110" max="4110" width="9" style="60" customWidth="1"/>
    <col min="4111" max="4111" width="9.109375" style="60"/>
    <col min="4112" max="4112" width="11.5546875" style="60" bestFit="1" customWidth="1"/>
    <col min="4113" max="4113" width="9.109375" style="60"/>
    <col min="4114" max="4114" width="10.5546875" style="60" bestFit="1" customWidth="1"/>
    <col min="4115" max="4352" width="9.109375" style="60"/>
    <col min="4353" max="4353" width="3.5546875" style="60" customWidth="1"/>
    <col min="4354" max="4354" width="29.6640625" style="60" customWidth="1"/>
    <col min="4355" max="4355" width="12.33203125" style="60" customWidth="1"/>
    <col min="4356" max="4356" width="10.44140625" style="60" customWidth="1"/>
    <col min="4357" max="4357" width="13.6640625" style="60" customWidth="1"/>
    <col min="4358" max="4358" width="9" style="60" customWidth="1"/>
    <col min="4359" max="4359" width="9.6640625" style="60" customWidth="1"/>
    <col min="4360" max="4360" width="10.5546875" style="60" customWidth="1"/>
    <col min="4361" max="4361" width="9" style="60" customWidth="1"/>
    <col min="4362" max="4362" width="8.44140625" style="60" customWidth="1"/>
    <col min="4363" max="4363" width="12.44140625" style="60" customWidth="1"/>
    <col min="4364" max="4364" width="5.5546875" style="60" customWidth="1"/>
    <col min="4365" max="4365" width="9.44140625" style="60" customWidth="1"/>
    <col min="4366" max="4366" width="9" style="60" customWidth="1"/>
    <col min="4367" max="4367" width="9.109375" style="60"/>
    <col min="4368" max="4368" width="11.5546875" style="60" bestFit="1" customWidth="1"/>
    <col min="4369" max="4369" width="9.109375" style="60"/>
    <col min="4370" max="4370" width="10.5546875" style="60" bestFit="1" customWidth="1"/>
    <col min="4371" max="4608" width="9.109375" style="60"/>
    <col min="4609" max="4609" width="3.5546875" style="60" customWidth="1"/>
    <col min="4610" max="4610" width="29.6640625" style="60" customWidth="1"/>
    <col min="4611" max="4611" width="12.33203125" style="60" customWidth="1"/>
    <col min="4612" max="4612" width="10.44140625" style="60" customWidth="1"/>
    <col min="4613" max="4613" width="13.6640625" style="60" customWidth="1"/>
    <col min="4614" max="4614" width="9" style="60" customWidth="1"/>
    <col min="4615" max="4615" width="9.6640625" style="60" customWidth="1"/>
    <col min="4616" max="4616" width="10.5546875" style="60" customWidth="1"/>
    <col min="4617" max="4617" width="9" style="60" customWidth="1"/>
    <col min="4618" max="4618" width="8.44140625" style="60" customWidth="1"/>
    <col min="4619" max="4619" width="12.44140625" style="60" customWidth="1"/>
    <col min="4620" max="4620" width="5.5546875" style="60" customWidth="1"/>
    <col min="4621" max="4621" width="9.44140625" style="60" customWidth="1"/>
    <col min="4622" max="4622" width="9" style="60" customWidth="1"/>
    <col min="4623" max="4623" width="9.109375" style="60"/>
    <col min="4624" max="4624" width="11.5546875" style="60" bestFit="1" customWidth="1"/>
    <col min="4625" max="4625" width="9.109375" style="60"/>
    <col min="4626" max="4626" width="10.5546875" style="60" bestFit="1" customWidth="1"/>
    <col min="4627" max="4864" width="9.109375" style="60"/>
    <col min="4865" max="4865" width="3.5546875" style="60" customWidth="1"/>
    <col min="4866" max="4866" width="29.6640625" style="60" customWidth="1"/>
    <col min="4867" max="4867" width="12.33203125" style="60" customWidth="1"/>
    <col min="4868" max="4868" width="10.44140625" style="60" customWidth="1"/>
    <col min="4869" max="4869" width="13.6640625" style="60" customWidth="1"/>
    <col min="4870" max="4870" width="9" style="60" customWidth="1"/>
    <col min="4871" max="4871" width="9.6640625" style="60" customWidth="1"/>
    <col min="4872" max="4872" width="10.5546875" style="60" customWidth="1"/>
    <col min="4873" max="4873" width="9" style="60" customWidth="1"/>
    <col min="4874" max="4874" width="8.44140625" style="60" customWidth="1"/>
    <col min="4875" max="4875" width="12.44140625" style="60" customWidth="1"/>
    <col min="4876" max="4876" width="5.5546875" style="60" customWidth="1"/>
    <col min="4877" max="4877" width="9.44140625" style="60" customWidth="1"/>
    <col min="4878" max="4878" width="9" style="60" customWidth="1"/>
    <col min="4879" max="4879" width="9.109375" style="60"/>
    <col min="4880" max="4880" width="11.5546875" style="60" bestFit="1" customWidth="1"/>
    <col min="4881" max="4881" width="9.109375" style="60"/>
    <col min="4882" max="4882" width="10.5546875" style="60" bestFit="1" customWidth="1"/>
    <col min="4883" max="5120" width="9.109375" style="60"/>
    <col min="5121" max="5121" width="3.5546875" style="60" customWidth="1"/>
    <col min="5122" max="5122" width="29.6640625" style="60" customWidth="1"/>
    <col min="5123" max="5123" width="12.33203125" style="60" customWidth="1"/>
    <col min="5124" max="5124" width="10.44140625" style="60" customWidth="1"/>
    <col min="5125" max="5125" width="13.6640625" style="60" customWidth="1"/>
    <col min="5126" max="5126" width="9" style="60" customWidth="1"/>
    <col min="5127" max="5127" width="9.6640625" style="60" customWidth="1"/>
    <col min="5128" max="5128" width="10.5546875" style="60" customWidth="1"/>
    <col min="5129" max="5129" width="9" style="60" customWidth="1"/>
    <col min="5130" max="5130" width="8.44140625" style="60" customWidth="1"/>
    <col min="5131" max="5131" width="12.44140625" style="60" customWidth="1"/>
    <col min="5132" max="5132" width="5.5546875" style="60" customWidth="1"/>
    <col min="5133" max="5133" width="9.44140625" style="60" customWidth="1"/>
    <col min="5134" max="5134" width="9" style="60" customWidth="1"/>
    <col min="5135" max="5135" width="9.109375" style="60"/>
    <col min="5136" max="5136" width="11.5546875" style="60" bestFit="1" customWidth="1"/>
    <col min="5137" max="5137" width="9.109375" style="60"/>
    <col min="5138" max="5138" width="10.5546875" style="60" bestFit="1" customWidth="1"/>
    <col min="5139" max="5376" width="9.109375" style="60"/>
    <col min="5377" max="5377" width="3.5546875" style="60" customWidth="1"/>
    <col min="5378" max="5378" width="29.6640625" style="60" customWidth="1"/>
    <col min="5379" max="5379" width="12.33203125" style="60" customWidth="1"/>
    <col min="5380" max="5380" width="10.44140625" style="60" customWidth="1"/>
    <col min="5381" max="5381" width="13.6640625" style="60" customWidth="1"/>
    <col min="5382" max="5382" width="9" style="60" customWidth="1"/>
    <col min="5383" max="5383" width="9.6640625" style="60" customWidth="1"/>
    <col min="5384" max="5384" width="10.5546875" style="60" customWidth="1"/>
    <col min="5385" max="5385" width="9" style="60" customWidth="1"/>
    <col min="5386" max="5386" width="8.44140625" style="60" customWidth="1"/>
    <col min="5387" max="5387" width="12.44140625" style="60" customWidth="1"/>
    <col min="5388" max="5388" width="5.5546875" style="60" customWidth="1"/>
    <col min="5389" max="5389" width="9.44140625" style="60" customWidth="1"/>
    <col min="5390" max="5390" width="9" style="60" customWidth="1"/>
    <col min="5391" max="5391" width="9.109375" style="60"/>
    <col min="5392" max="5392" width="11.5546875" style="60" bestFit="1" customWidth="1"/>
    <col min="5393" max="5393" width="9.109375" style="60"/>
    <col min="5394" max="5394" width="10.5546875" style="60" bestFit="1" customWidth="1"/>
    <col min="5395" max="5632" width="9.109375" style="60"/>
    <col min="5633" max="5633" width="3.5546875" style="60" customWidth="1"/>
    <col min="5634" max="5634" width="29.6640625" style="60" customWidth="1"/>
    <col min="5635" max="5635" width="12.33203125" style="60" customWidth="1"/>
    <col min="5636" max="5636" width="10.44140625" style="60" customWidth="1"/>
    <col min="5637" max="5637" width="13.6640625" style="60" customWidth="1"/>
    <col min="5638" max="5638" width="9" style="60" customWidth="1"/>
    <col min="5639" max="5639" width="9.6640625" style="60" customWidth="1"/>
    <col min="5640" max="5640" width="10.5546875" style="60" customWidth="1"/>
    <col min="5641" max="5641" width="9" style="60" customWidth="1"/>
    <col min="5642" max="5642" width="8.44140625" style="60" customWidth="1"/>
    <col min="5643" max="5643" width="12.44140625" style="60" customWidth="1"/>
    <col min="5644" max="5644" width="5.5546875" style="60" customWidth="1"/>
    <col min="5645" max="5645" width="9.44140625" style="60" customWidth="1"/>
    <col min="5646" max="5646" width="9" style="60" customWidth="1"/>
    <col min="5647" max="5647" width="9.109375" style="60"/>
    <col min="5648" max="5648" width="11.5546875" style="60" bestFit="1" customWidth="1"/>
    <col min="5649" max="5649" width="9.109375" style="60"/>
    <col min="5650" max="5650" width="10.5546875" style="60" bestFit="1" customWidth="1"/>
    <col min="5651" max="5888" width="9.109375" style="60"/>
    <col min="5889" max="5889" width="3.5546875" style="60" customWidth="1"/>
    <col min="5890" max="5890" width="29.6640625" style="60" customWidth="1"/>
    <col min="5891" max="5891" width="12.33203125" style="60" customWidth="1"/>
    <col min="5892" max="5892" width="10.44140625" style="60" customWidth="1"/>
    <col min="5893" max="5893" width="13.6640625" style="60" customWidth="1"/>
    <col min="5894" max="5894" width="9" style="60" customWidth="1"/>
    <col min="5895" max="5895" width="9.6640625" style="60" customWidth="1"/>
    <col min="5896" max="5896" width="10.5546875" style="60" customWidth="1"/>
    <col min="5897" max="5897" width="9" style="60" customWidth="1"/>
    <col min="5898" max="5898" width="8.44140625" style="60" customWidth="1"/>
    <col min="5899" max="5899" width="12.44140625" style="60" customWidth="1"/>
    <col min="5900" max="5900" width="5.5546875" style="60" customWidth="1"/>
    <col min="5901" max="5901" width="9.44140625" style="60" customWidth="1"/>
    <col min="5902" max="5902" width="9" style="60" customWidth="1"/>
    <col min="5903" max="5903" width="9.109375" style="60"/>
    <col min="5904" max="5904" width="11.5546875" style="60" bestFit="1" customWidth="1"/>
    <col min="5905" max="5905" width="9.109375" style="60"/>
    <col min="5906" max="5906" width="10.5546875" style="60" bestFit="1" customWidth="1"/>
    <col min="5907" max="6144" width="9.109375" style="60"/>
    <col min="6145" max="6145" width="3.5546875" style="60" customWidth="1"/>
    <col min="6146" max="6146" width="29.6640625" style="60" customWidth="1"/>
    <col min="6147" max="6147" width="12.33203125" style="60" customWidth="1"/>
    <col min="6148" max="6148" width="10.44140625" style="60" customWidth="1"/>
    <col min="6149" max="6149" width="13.6640625" style="60" customWidth="1"/>
    <col min="6150" max="6150" width="9" style="60" customWidth="1"/>
    <col min="6151" max="6151" width="9.6640625" style="60" customWidth="1"/>
    <col min="6152" max="6152" width="10.5546875" style="60" customWidth="1"/>
    <col min="6153" max="6153" width="9" style="60" customWidth="1"/>
    <col min="6154" max="6154" width="8.44140625" style="60" customWidth="1"/>
    <col min="6155" max="6155" width="12.44140625" style="60" customWidth="1"/>
    <col min="6156" max="6156" width="5.5546875" style="60" customWidth="1"/>
    <col min="6157" max="6157" width="9.44140625" style="60" customWidth="1"/>
    <col min="6158" max="6158" width="9" style="60" customWidth="1"/>
    <col min="6159" max="6159" width="9.109375" style="60"/>
    <col min="6160" max="6160" width="11.5546875" style="60" bestFit="1" customWidth="1"/>
    <col min="6161" max="6161" width="9.109375" style="60"/>
    <col min="6162" max="6162" width="10.5546875" style="60" bestFit="1" customWidth="1"/>
    <col min="6163" max="6400" width="9.109375" style="60"/>
    <col min="6401" max="6401" width="3.5546875" style="60" customWidth="1"/>
    <col min="6402" max="6402" width="29.6640625" style="60" customWidth="1"/>
    <col min="6403" max="6403" width="12.33203125" style="60" customWidth="1"/>
    <col min="6404" max="6404" width="10.44140625" style="60" customWidth="1"/>
    <col min="6405" max="6405" width="13.6640625" style="60" customWidth="1"/>
    <col min="6406" max="6406" width="9" style="60" customWidth="1"/>
    <col min="6407" max="6407" width="9.6640625" style="60" customWidth="1"/>
    <col min="6408" max="6408" width="10.5546875" style="60" customWidth="1"/>
    <col min="6409" max="6409" width="9" style="60" customWidth="1"/>
    <col min="6410" max="6410" width="8.44140625" style="60" customWidth="1"/>
    <col min="6411" max="6411" width="12.44140625" style="60" customWidth="1"/>
    <col min="6412" max="6412" width="5.5546875" style="60" customWidth="1"/>
    <col min="6413" max="6413" width="9.44140625" style="60" customWidth="1"/>
    <col min="6414" max="6414" width="9" style="60" customWidth="1"/>
    <col min="6415" max="6415" width="9.109375" style="60"/>
    <col min="6416" max="6416" width="11.5546875" style="60" bestFit="1" customWidth="1"/>
    <col min="6417" max="6417" width="9.109375" style="60"/>
    <col min="6418" max="6418" width="10.5546875" style="60" bestFit="1" customWidth="1"/>
    <col min="6419" max="6656" width="9.109375" style="60"/>
    <col min="6657" max="6657" width="3.5546875" style="60" customWidth="1"/>
    <col min="6658" max="6658" width="29.6640625" style="60" customWidth="1"/>
    <col min="6659" max="6659" width="12.33203125" style="60" customWidth="1"/>
    <col min="6660" max="6660" width="10.44140625" style="60" customWidth="1"/>
    <col min="6661" max="6661" width="13.6640625" style="60" customWidth="1"/>
    <col min="6662" max="6662" width="9" style="60" customWidth="1"/>
    <col min="6663" max="6663" width="9.6640625" style="60" customWidth="1"/>
    <col min="6664" max="6664" width="10.5546875" style="60" customWidth="1"/>
    <col min="6665" max="6665" width="9" style="60" customWidth="1"/>
    <col min="6666" max="6666" width="8.44140625" style="60" customWidth="1"/>
    <col min="6667" max="6667" width="12.44140625" style="60" customWidth="1"/>
    <col min="6668" max="6668" width="5.5546875" style="60" customWidth="1"/>
    <col min="6669" max="6669" width="9.44140625" style="60" customWidth="1"/>
    <col min="6670" max="6670" width="9" style="60" customWidth="1"/>
    <col min="6671" max="6671" width="9.109375" style="60"/>
    <col min="6672" max="6672" width="11.5546875" style="60" bestFit="1" customWidth="1"/>
    <col min="6673" max="6673" width="9.109375" style="60"/>
    <col min="6674" max="6674" width="10.5546875" style="60" bestFit="1" customWidth="1"/>
    <col min="6675" max="6912" width="9.109375" style="60"/>
    <col min="6913" max="6913" width="3.5546875" style="60" customWidth="1"/>
    <col min="6914" max="6914" width="29.6640625" style="60" customWidth="1"/>
    <col min="6915" max="6915" width="12.33203125" style="60" customWidth="1"/>
    <col min="6916" max="6916" width="10.44140625" style="60" customWidth="1"/>
    <col min="6917" max="6917" width="13.6640625" style="60" customWidth="1"/>
    <col min="6918" max="6918" width="9" style="60" customWidth="1"/>
    <col min="6919" max="6919" width="9.6640625" style="60" customWidth="1"/>
    <col min="6920" max="6920" width="10.5546875" style="60" customWidth="1"/>
    <col min="6921" max="6921" width="9" style="60" customWidth="1"/>
    <col min="6922" max="6922" width="8.44140625" style="60" customWidth="1"/>
    <col min="6923" max="6923" width="12.44140625" style="60" customWidth="1"/>
    <col min="6924" max="6924" width="5.5546875" style="60" customWidth="1"/>
    <col min="6925" max="6925" width="9.44140625" style="60" customWidth="1"/>
    <col min="6926" max="6926" width="9" style="60" customWidth="1"/>
    <col min="6927" max="6927" width="9.109375" style="60"/>
    <col min="6928" max="6928" width="11.5546875" style="60" bestFit="1" customWidth="1"/>
    <col min="6929" max="6929" width="9.109375" style="60"/>
    <col min="6930" max="6930" width="10.5546875" style="60" bestFit="1" customWidth="1"/>
    <col min="6931" max="7168" width="9.109375" style="60"/>
    <col min="7169" max="7169" width="3.5546875" style="60" customWidth="1"/>
    <col min="7170" max="7170" width="29.6640625" style="60" customWidth="1"/>
    <col min="7171" max="7171" width="12.33203125" style="60" customWidth="1"/>
    <col min="7172" max="7172" width="10.44140625" style="60" customWidth="1"/>
    <col min="7173" max="7173" width="13.6640625" style="60" customWidth="1"/>
    <col min="7174" max="7174" width="9" style="60" customWidth="1"/>
    <col min="7175" max="7175" width="9.6640625" style="60" customWidth="1"/>
    <col min="7176" max="7176" width="10.5546875" style="60" customWidth="1"/>
    <col min="7177" max="7177" width="9" style="60" customWidth="1"/>
    <col min="7178" max="7178" width="8.44140625" style="60" customWidth="1"/>
    <col min="7179" max="7179" width="12.44140625" style="60" customWidth="1"/>
    <col min="7180" max="7180" width="5.5546875" style="60" customWidth="1"/>
    <col min="7181" max="7181" width="9.44140625" style="60" customWidth="1"/>
    <col min="7182" max="7182" width="9" style="60" customWidth="1"/>
    <col min="7183" max="7183" width="9.109375" style="60"/>
    <col min="7184" max="7184" width="11.5546875" style="60" bestFit="1" customWidth="1"/>
    <col min="7185" max="7185" width="9.109375" style="60"/>
    <col min="7186" max="7186" width="10.5546875" style="60" bestFit="1" customWidth="1"/>
    <col min="7187" max="7424" width="9.109375" style="60"/>
    <col min="7425" max="7425" width="3.5546875" style="60" customWidth="1"/>
    <col min="7426" max="7426" width="29.6640625" style="60" customWidth="1"/>
    <col min="7427" max="7427" width="12.33203125" style="60" customWidth="1"/>
    <col min="7428" max="7428" width="10.44140625" style="60" customWidth="1"/>
    <col min="7429" max="7429" width="13.6640625" style="60" customWidth="1"/>
    <col min="7430" max="7430" width="9" style="60" customWidth="1"/>
    <col min="7431" max="7431" width="9.6640625" style="60" customWidth="1"/>
    <col min="7432" max="7432" width="10.5546875" style="60" customWidth="1"/>
    <col min="7433" max="7433" width="9" style="60" customWidth="1"/>
    <col min="7434" max="7434" width="8.44140625" style="60" customWidth="1"/>
    <col min="7435" max="7435" width="12.44140625" style="60" customWidth="1"/>
    <col min="7436" max="7436" width="5.5546875" style="60" customWidth="1"/>
    <col min="7437" max="7437" width="9.44140625" style="60" customWidth="1"/>
    <col min="7438" max="7438" width="9" style="60" customWidth="1"/>
    <col min="7439" max="7439" width="9.109375" style="60"/>
    <col min="7440" max="7440" width="11.5546875" style="60" bestFit="1" customWidth="1"/>
    <col min="7441" max="7441" width="9.109375" style="60"/>
    <col min="7442" max="7442" width="10.5546875" style="60" bestFit="1" customWidth="1"/>
    <col min="7443" max="7680" width="9.109375" style="60"/>
    <col min="7681" max="7681" width="3.5546875" style="60" customWidth="1"/>
    <col min="7682" max="7682" width="29.6640625" style="60" customWidth="1"/>
    <col min="7683" max="7683" width="12.33203125" style="60" customWidth="1"/>
    <col min="7684" max="7684" width="10.44140625" style="60" customWidth="1"/>
    <col min="7685" max="7685" width="13.6640625" style="60" customWidth="1"/>
    <col min="7686" max="7686" width="9" style="60" customWidth="1"/>
    <col min="7687" max="7687" width="9.6640625" style="60" customWidth="1"/>
    <col min="7688" max="7688" width="10.5546875" style="60" customWidth="1"/>
    <col min="7689" max="7689" width="9" style="60" customWidth="1"/>
    <col min="7690" max="7690" width="8.44140625" style="60" customWidth="1"/>
    <col min="7691" max="7691" width="12.44140625" style="60" customWidth="1"/>
    <col min="7692" max="7692" width="5.5546875" style="60" customWidth="1"/>
    <col min="7693" max="7693" width="9.44140625" style="60" customWidth="1"/>
    <col min="7694" max="7694" width="9" style="60" customWidth="1"/>
    <col min="7695" max="7695" width="9.109375" style="60"/>
    <col min="7696" max="7696" width="11.5546875" style="60" bestFit="1" customWidth="1"/>
    <col min="7697" max="7697" width="9.109375" style="60"/>
    <col min="7698" max="7698" width="10.5546875" style="60" bestFit="1" customWidth="1"/>
    <col min="7699" max="7936" width="9.109375" style="60"/>
    <col min="7937" max="7937" width="3.5546875" style="60" customWidth="1"/>
    <col min="7938" max="7938" width="29.6640625" style="60" customWidth="1"/>
    <col min="7939" max="7939" width="12.33203125" style="60" customWidth="1"/>
    <col min="7940" max="7940" width="10.44140625" style="60" customWidth="1"/>
    <col min="7941" max="7941" width="13.6640625" style="60" customWidth="1"/>
    <col min="7942" max="7942" width="9" style="60" customWidth="1"/>
    <col min="7943" max="7943" width="9.6640625" style="60" customWidth="1"/>
    <col min="7944" max="7944" width="10.5546875" style="60" customWidth="1"/>
    <col min="7945" max="7945" width="9" style="60" customWidth="1"/>
    <col min="7946" max="7946" width="8.44140625" style="60" customWidth="1"/>
    <col min="7947" max="7947" width="12.44140625" style="60" customWidth="1"/>
    <col min="7948" max="7948" width="5.5546875" style="60" customWidth="1"/>
    <col min="7949" max="7949" width="9.44140625" style="60" customWidth="1"/>
    <col min="7950" max="7950" width="9" style="60" customWidth="1"/>
    <col min="7951" max="7951" width="9.109375" style="60"/>
    <col min="7952" max="7952" width="11.5546875" style="60" bestFit="1" customWidth="1"/>
    <col min="7953" max="7953" width="9.109375" style="60"/>
    <col min="7954" max="7954" width="10.5546875" style="60" bestFit="1" customWidth="1"/>
    <col min="7955" max="8192" width="9.109375" style="60"/>
    <col min="8193" max="8193" width="3.5546875" style="60" customWidth="1"/>
    <col min="8194" max="8194" width="29.6640625" style="60" customWidth="1"/>
    <col min="8195" max="8195" width="12.33203125" style="60" customWidth="1"/>
    <col min="8196" max="8196" width="10.44140625" style="60" customWidth="1"/>
    <col min="8197" max="8197" width="13.6640625" style="60" customWidth="1"/>
    <col min="8198" max="8198" width="9" style="60" customWidth="1"/>
    <col min="8199" max="8199" width="9.6640625" style="60" customWidth="1"/>
    <col min="8200" max="8200" width="10.5546875" style="60" customWidth="1"/>
    <col min="8201" max="8201" width="9" style="60" customWidth="1"/>
    <col min="8202" max="8202" width="8.44140625" style="60" customWidth="1"/>
    <col min="8203" max="8203" width="12.44140625" style="60" customWidth="1"/>
    <col min="8204" max="8204" width="5.5546875" style="60" customWidth="1"/>
    <col min="8205" max="8205" width="9.44140625" style="60" customWidth="1"/>
    <col min="8206" max="8206" width="9" style="60" customWidth="1"/>
    <col min="8207" max="8207" width="9.109375" style="60"/>
    <col min="8208" max="8208" width="11.5546875" style="60" bestFit="1" customWidth="1"/>
    <col min="8209" max="8209" width="9.109375" style="60"/>
    <col min="8210" max="8210" width="10.5546875" style="60" bestFit="1" customWidth="1"/>
    <col min="8211" max="8448" width="9.109375" style="60"/>
    <col min="8449" max="8449" width="3.5546875" style="60" customWidth="1"/>
    <col min="8450" max="8450" width="29.6640625" style="60" customWidth="1"/>
    <col min="8451" max="8451" width="12.33203125" style="60" customWidth="1"/>
    <col min="8452" max="8452" width="10.44140625" style="60" customWidth="1"/>
    <col min="8453" max="8453" width="13.6640625" style="60" customWidth="1"/>
    <col min="8454" max="8454" width="9" style="60" customWidth="1"/>
    <col min="8455" max="8455" width="9.6640625" style="60" customWidth="1"/>
    <col min="8456" max="8456" width="10.5546875" style="60" customWidth="1"/>
    <col min="8457" max="8457" width="9" style="60" customWidth="1"/>
    <col min="8458" max="8458" width="8.44140625" style="60" customWidth="1"/>
    <col min="8459" max="8459" width="12.44140625" style="60" customWidth="1"/>
    <col min="8460" max="8460" width="5.5546875" style="60" customWidth="1"/>
    <col min="8461" max="8461" width="9.44140625" style="60" customWidth="1"/>
    <col min="8462" max="8462" width="9" style="60" customWidth="1"/>
    <col min="8463" max="8463" width="9.109375" style="60"/>
    <col min="8464" max="8464" width="11.5546875" style="60" bestFit="1" customWidth="1"/>
    <col min="8465" max="8465" width="9.109375" style="60"/>
    <col min="8466" max="8466" width="10.5546875" style="60" bestFit="1" customWidth="1"/>
    <col min="8467" max="8704" width="9.109375" style="60"/>
    <col min="8705" max="8705" width="3.5546875" style="60" customWidth="1"/>
    <col min="8706" max="8706" width="29.6640625" style="60" customWidth="1"/>
    <col min="8707" max="8707" width="12.33203125" style="60" customWidth="1"/>
    <col min="8708" max="8708" width="10.44140625" style="60" customWidth="1"/>
    <col min="8709" max="8709" width="13.6640625" style="60" customWidth="1"/>
    <col min="8710" max="8710" width="9" style="60" customWidth="1"/>
    <col min="8711" max="8711" width="9.6640625" style="60" customWidth="1"/>
    <col min="8712" max="8712" width="10.5546875" style="60" customWidth="1"/>
    <col min="8713" max="8713" width="9" style="60" customWidth="1"/>
    <col min="8714" max="8714" width="8.44140625" style="60" customWidth="1"/>
    <col min="8715" max="8715" width="12.44140625" style="60" customWidth="1"/>
    <col min="8716" max="8716" width="5.5546875" style="60" customWidth="1"/>
    <col min="8717" max="8717" width="9.44140625" style="60" customWidth="1"/>
    <col min="8718" max="8718" width="9" style="60" customWidth="1"/>
    <col min="8719" max="8719" width="9.109375" style="60"/>
    <col min="8720" max="8720" width="11.5546875" style="60" bestFit="1" customWidth="1"/>
    <col min="8721" max="8721" width="9.109375" style="60"/>
    <col min="8722" max="8722" width="10.5546875" style="60" bestFit="1" customWidth="1"/>
    <col min="8723" max="8960" width="9.109375" style="60"/>
    <col min="8961" max="8961" width="3.5546875" style="60" customWidth="1"/>
    <col min="8962" max="8962" width="29.6640625" style="60" customWidth="1"/>
    <col min="8963" max="8963" width="12.33203125" style="60" customWidth="1"/>
    <col min="8964" max="8964" width="10.44140625" style="60" customWidth="1"/>
    <col min="8965" max="8965" width="13.6640625" style="60" customWidth="1"/>
    <col min="8966" max="8966" width="9" style="60" customWidth="1"/>
    <col min="8967" max="8967" width="9.6640625" style="60" customWidth="1"/>
    <col min="8968" max="8968" width="10.5546875" style="60" customWidth="1"/>
    <col min="8969" max="8969" width="9" style="60" customWidth="1"/>
    <col min="8970" max="8970" width="8.44140625" style="60" customWidth="1"/>
    <col min="8971" max="8971" width="12.44140625" style="60" customWidth="1"/>
    <col min="8972" max="8972" width="5.5546875" style="60" customWidth="1"/>
    <col min="8973" max="8973" width="9.44140625" style="60" customWidth="1"/>
    <col min="8974" max="8974" width="9" style="60" customWidth="1"/>
    <col min="8975" max="8975" width="9.109375" style="60"/>
    <col min="8976" max="8976" width="11.5546875" style="60" bestFit="1" customWidth="1"/>
    <col min="8977" max="8977" width="9.109375" style="60"/>
    <col min="8978" max="8978" width="10.5546875" style="60" bestFit="1" customWidth="1"/>
    <col min="8979" max="9216" width="9.109375" style="60"/>
    <col min="9217" max="9217" width="3.5546875" style="60" customWidth="1"/>
    <col min="9218" max="9218" width="29.6640625" style="60" customWidth="1"/>
    <col min="9219" max="9219" width="12.33203125" style="60" customWidth="1"/>
    <col min="9220" max="9220" width="10.44140625" style="60" customWidth="1"/>
    <col min="9221" max="9221" width="13.6640625" style="60" customWidth="1"/>
    <col min="9222" max="9222" width="9" style="60" customWidth="1"/>
    <col min="9223" max="9223" width="9.6640625" style="60" customWidth="1"/>
    <col min="9224" max="9224" width="10.5546875" style="60" customWidth="1"/>
    <col min="9225" max="9225" width="9" style="60" customWidth="1"/>
    <col min="9226" max="9226" width="8.44140625" style="60" customWidth="1"/>
    <col min="9227" max="9227" width="12.44140625" style="60" customWidth="1"/>
    <col min="9228" max="9228" width="5.5546875" style="60" customWidth="1"/>
    <col min="9229" max="9229" width="9.44140625" style="60" customWidth="1"/>
    <col min="9230" max="9230" width="9" style="60" customWidth="1"/>
    <col min="9231" max="9231" width="9.109375" style="60"/>
    <col min="9232" max="9232" width="11.5546875" style="60" bestFit="1" customWidth="1"/>
    <col min="9233" max="9233" width="9.109375" style="60"/>
    <col min="9234" max="9234" width="10.5546875" style="60" bestFit="1" customWidth="1"/>
    <col min="9235" max="9472" width="9.109375" style="60"/>
    <col min="9473" max="9473" width="3.5546875" style="60" customWidth="1"/>
    <col min="9474" max="9474" width="29.6640625" style="60" customWidth="1"/>
    <col min="9475" max="9475" width="12.33203125" style="60" customWidth="1"/>
    <col min="9476" max="9476" width="10.44140625" style="60" customWidth="1"/>
    <col min="9477" max="9477" width="13.6640625" style="60" customWidth="1"/>
    <col min="9478" max="9478" width="9" style="60" customWidth="1"/>
    <col min="9479" max="9479" width="9.6640625" style="60" customWidth="1"/>
    <col min="9480" max="9480" width="10.5546875" style="60" customWidth="1"/>
    <col min="9481" max="9481" width="9" style="60" customWidth="1"/>
    <col min="9482" max="9482" width="8.44140625" style="60" customWidth="1"/>
    <col min="9483" max="9483" width="12.44140625" style="60" customWidth="1"/>
    <col min="9484" max="9484" width="5.5546875" style="60" customWidth="1"/>
    <col min="9485" max="9485" width="9.44140625" style="60" customWidth="1"/>
    <col min="9486" max="9486" width="9" style="60" customWidth="1"/>
    <col min="9487" max="9487" width="9.109375" style="60"/>
    <col min="9488" max="9488" width="11.5546875" style="60" bestFit="1" customWidth="1"/>
    <col min="9489" max="9489" width="9.109375" style="60"/>
    <col min="9490" max="9490" width="10.5546875" style="60" bestFit="1" customWidth="1"/>
    <col min="9491" max="9728" width="9.109375" style="60"/>
    <col min="9729" max="9729" width="3.5546875" style="60" customWidth="1"/>
    <col min="9730" max="9730" width="29.6640625" style="60" customWidth="1"/>
    <col min="9731" max="9731" width="12.33203125" style="60" customWidth="1"/>
    <col min="9732" max="9732" width="10.44140625" style="60" customWidth="1"/>
    <col min="9733" max="9733" width="13.6640625" style="60" customWidth="1"/>
    <col min="9734" max="9734" width="9" style="60" customWidth="1"/>
    <col min="9735" max="9735" width="9.6640625" style="60" customWidth="1"/>
    <col min="9736" max="9736" width="10.5546875" style="60" customWidth="1"/>
    <col min="9737" max="9737" width="9" style="60" customWidth="1"/>
    <col min="9738" max="9738" width="8.44140625" style="60" customWidth="1"/>
    <col min="9739" max="9739" width="12.44140625" style="60" customWidth="1"/>
    <col min="9740" max="9740" width="5.5546875" style="60" customWidth="1"/>
    <col min="9741" max="9741" width="9.44140625" style="60" customWidth="1"/>
    <col min="9742" max="9742" width="9" style="60" customWidth="1"/>
    <col min="9743" max="9743" width="9.109375" style="60"/>
    <col min="9744" max="9744" width="11.5546875" style="60" bestFit="1" customWidth="1"/>
    <col min="9745" max="9745" width="9.109375" style="60"/>
    <col min="9746" max="9746" width="10.5546875" style="60" bestFit="1" customWidth="1"/>
    <col min="9747" max="9984" width="9.109375" style="60"/>
    <col min="9985" max="9985" width="3.5546875" style="60" customWidth="1"/>
    <col min="9986" max="9986" width="29.6640625" style="60" customWidth="1"/>
    <col min="9987" max="9987" width="12.33203125" style="60" customWidth="1"/>
    <col min="9988" max="9988" width="10.44140625" style="60" customWidth="1"/>
    <col min="9989" max="9989" width="13.6640625" style="60" customWidth="1"/>
    <col min="9990" max="9990" width="9" style="60" customWidth="1"/>
    <col min="9991" max="9991" width="9.6640625" style="60" customWidth="1"/>
    <col min="9992" max="9992" width="10.5546875" style="60" customWidth="1"/>
    <col min="9993" max="9993" width="9" style="60" customWidth="1"/>
    <col min="9994" max="9994" width="8.44140625" style="60" customWidth="1"/>
    <col min="9995" max="9995" width="12.44140625" style="60" customWidth="1"/>
    <col min="9996" max="9996" width="5.5546875" style="60" customWidth="1"/>
    <col min="9997" max="9997" width="9.44140625" style="60" customWidth="1"/>
    <col min="9998" max="9998" width="9" style="60" customWidth="1"/>
    <col min="9999" max="9999" width="9.109375" style="60"/>
    <col min="10000" max="10000" width="11.5546875" style="60" bestFit="1" customWidth="1"/>
    <col min="10001" max="10001" width="9.109375" style="60"/>
    <col min="10002" max="10002" width="10.5546875" style="60" bestFit="1" customWidth="1"/>
    <col min="10003" max="10240" width="9.109375" style="60"/>
    <col min="10241" max="10241" width="3.5546875" style="60" customWidth="1"/>
    <col min="10242" max="10242" width="29.6640625" style="60" customWidth="1"/>
    <col min="10243" max="10243" width="12.33203125" style="60" customWidth="1"/>
    <col min="10244" max="10244" width="10.44140625" style="60" customWidth="1"/>
    <col min="10245" max="10245" width="13.6640625" style="60" customWidth="1"/>
    <col min="10246" max="10246" width="9" style="60" customWidth="1"/>
    <col min="10247" max="10247" width="9.6640625" style="60" customWidth="1"/>
    <col min="10248" max="10248" width="10.5546875" style="60" customWidth="1"/>
    <col min="10249" max="10249" width="9" style="60" customWidth="1"/>
    <col min="10250" max="10250" width="8.44140625" style="60" customWidth="1"/>
    <col min="10251" max="10251" width="12.44140625" style="60" customWidth="1"/>
    <col min="10252" max="10252" width="5.5546875" style="60" customWidth="1"/>
    <col min="10253" max="10253" width="9.44140625" style="60" customWidth="1"/>
    <col min="10254" max="10254" width="9" style="60" customWidth="1"/>
    <col min="10255" max="10255" width="9.109375" style="60"/>
    <col min="10256" max="10256" width="11.5546875" style="60" bestFit="1" customWidth="1"/>
    <col min="10257" max="10257" width="9.109375" style="60"/>
    <col min="10258" max="10258" width="10.5546875" style="60" bestFit="1" customWidth="1"/>
    <col min="10259" max="10496" width="9.109375" style="60"/>
    <col min="10497" max="10497" width="3.5546875" style="60" customWidth="1"/>
    <col min="10498" max="10498" width="29.6640625" style="60" customWidth="1"/>
    <col min="10499" max="10499" width="12.33203125" style="60" customWidth="1"/>
    <col min="10500" max="10500" width="10.44140625" style="60" customWidth="1"/>
    <col min="10501" max="10501" width="13.6640625" style="60" customWidth="1"/>
    <col min="10502" max="10502" width="9" style="60" customWidth="1"/>
    <col min="10503" max="10503" width="9.6640625" style="60" customWidth="1"/>
    <col min="10504" max="10504" width="10.5546875" style="60" customWidth="1"/>
    <col min="10505" max="10505" width="9" style="60" customWidth="1"/>
    <col min="10506" max="10506" width="8.44140625" style="60" customWidth="1"/>
    <col min="10507" max="10507" width="12.44140625" style="60" customWidth="1"/>
    <col min="10508" max="10508" width="5.5546875" style="60" customWidth="1"/>
    <col min="10509" max="10509" width="9.44140625" style="60" customWidth="1"/>
    <col min="10510" max="10510" width="9" style="60" customWidth="1"/>
    <col min="10511" max="10511" width="9.109375" style="60"/>
    <col min="10512" max="10512" width="11.5546875" style="60" bestFit="1" customWidth="1"/>
    <col min="10513" max="10513" width="9.109375" style="60"/>
    <col min="10514" max="10514" width="10.5546875" style="60" bestFit="1" customWidth="1"/>
    <col min="10515" max="10752" width="9.109375" style="60"/>
    <col min="10753" max="10753" width="3.5546875" style="60" customWidth="1"/>
    <col min="10754" max="10754" width="29.6640625" style="60" customWidth="1"/>
    <col min="10755" max="10755" width="12.33203125" style="60" customWidth="1"/>
    <col min="10756" max="10756" width="10.44140625" style="60" customWidth="1"/>
    <col min="10757" max="10757" width="13.6640625" style="60" customWidth="1"/>
    <col min="10758" max="10758" width="9" style="60" customWidth="1"/>
    <col min="10759" max="10759" width="9.6640625" style="60" customWidth="1"/>
    <col min="10760" max="10760" width="10.5546875" style="60" customWidth="1"/>
    <col min="10761" max="10761" width="9" style="60" customWidth="1"/>
    <col min="10762" max="10762" width="8.44140625" style="60" customWidth="1"/>
    <col min="10763" max="10763" width="12.44140625" style="60" customWidth="1"/>
    <col min="10764" max="10764" width="5.5546875" style="60" customWidth="1"/>
    <col min="10765" max="10765" width="9.44140625" style="60" customWidth="1"/>
    <col min="10766" max="10766" width="9" style="60" customWidth="1"/>
    <col min="10767" max="10767" width="9.109375" style="60"/>
    <col min="10768" max="10768" width="11.5546875" style="60" bestFit="1" customWidth="1"/>
    <col min="10769" max="10769" width="9.109375" style="60"/>
    <col min="10770" max="10770" width="10.5546875" style="60" bestFit="1" customWidth="1"/>
    <col min="10771" max="11008" width="9.109375" style="60"/>
    <col min="11009" max="11009" width="3.5546875" style="60" customWidth="1"/>
    <col min="11010" max="11010" width="29.6640625" style="60" customWidth="1"/>
    <col min="11011" max="11011" width="12.33203125" style="60" customWidth="1"/>
    <col min="11012" max="11012" width="10.44140625" style="60" customWidth="1"/>
    <col min="11013" max="11013" width="13.6640625" style="60" customWidth="1"/>
    <col min="11014" max="11014" width="9" style="60" customWidth="1"/>
    <col min="11015" max="11015" width="9.6640625" style="60" customWidth="1"/>
    <col min="11016" max="11016" width="10.5546875" style="60" customWidth="1"/>
    <col min="11017" max="11017" width="9" style="60" customWidth="1"/>
    <col min="11018" max="11018" width="8.44140625" style="60" customWidth="1"/>
    <col min="11019" max="11019" width="12.44140625" style="60" customWidth="1"/>
    <col min="11020" max="11020" width="5.5546875" style="60" customWidth="1"/>
    <col min="11021" max="11021" width="9.44140625" style="60" customWidth="1"/>
    <col min="11022" max="11022" width="9" style="60" customWidth="1"/>
    <col min="11023" max="11023" width="9.109375" style="60"/>
    <col min="11024" max="11024" width="11.5546875" style="60" bestFit="1" customWidth="1"/>
    <col min="11025" max="11025" width="9.109375" style="60"/>
    <col min="11026" max="11026" width="10.5546875" style="60" bestFit="1" customWidth="1"/>
    <col min="11027" max="11264" width="9.109375" style="60"/>
    <col min="11265" max="11265" width="3.5546875" style="60" customWidth="1"/>
    <col min="11266" max="11266" width="29.6640625" style="60" customWidth="1"/>
    <col min="11267" max="11267" width="12.33203125" style="60" customWidth="1"/>
    <col min="11268" max="11268" width="10.44140625" style="60" customWidth="1"/>
    <col min="11269" max="11269" width="13.6640625" style="60" customWidth="1"/>
    <col min="11270" max="11270" width="9" style="60" customWidth="1"/>
    <col min="11271" max="11271" width="9.6640625" style="60" customWidth="1"/>
    <col min="11272" max="11272" width="10.5546875" style="60" customWidth="1"/>
    <col min="11273" max="11273" width="9" style="60" customWidth="1"/>
    <col min="11274" max="11274" width="8.44140625" style="60" customWidth="1"/>
    <col min="11275" max="11275" width="12.44140625" style="60" customWidth="1"/>
    <col min="11276" max="11276" width="5.5546875" style="60" customWidth="1"/>
    <col min="11277" max="11277" width="9.44140625" style="60" customWidth="1"/>
    <col min="11278" max="11278" width="9" style="60" customWidth="1"/>
    <col min="11279" max="11279" width="9.109375" style="60"/>
    <col min="11280" max="11280" width="11.5546875" style="60" bestFit="1" customWidth="1"/>
    <col min="11281" max="11281" width="9.109375" style="60"/>
    <col min="11282" max="11282" width="10.5546875" style="60" bestFit="1" customWidth="1"/>
    <col min="11283" max="11520" width="9.109375" style="60"/>
    <col min="11521" max="11521" width="3.5546875" style="60" customWidth="1"/>
    <col min="11522" max="11522" width="29.6640625" style="60" customWidth="1"/>
    <col min="11523" max="11523" width="12.33203125" style="60" customWidth="1"/>
    <col min="11524" max="11524" width="10.44140625" style="60" customWidth="1"/>
    <col min="11525" max="11525" width="13.6640625" style="60" customWidth="1"/>
    <col min="11526" max="11526" width="9" style="60" customWidth="1"/>
    <col min="11527" max="11527" width="9.6640625" style="60" customWidth="1"/>
    <col min="11528" max="11528" width="10.5546875" style="60" customWidth="1"/>
    <col min="11529" max="11529" width="9" style="60" customWidth="1"/>
    <col min="11530" max="11530" width="8.44140625" style="60" customWidth="1"/>
    <col min="11531" max="11531" width="12.44140625" style="60" customWidth="1"/>
    <col min="11532" max="11532" width="5.5546875" style="60" customWidth="1"/>
    <col min="11533" max="11533" width="9.44140625" style="60" customWidth="1"/>
    <col min="11534" max="11534" width="9" style="60" customWidth="1"/>
    <col min="11535" max="11535" width="9.109375" style="60"/>
    <col min="11536" max="11536" width="11.5546875" style="60" bestFit="1" customWidth="1"/>
    <col min="11537" max="11537" width="9.109375" style="60"/>
    <col min="11538" max="11538" width="10.5546875" style="60" bestFit="1" customWidth="1"/>
    <col min="11539" max="11776" width="9.109375" style="60"/>
    <col min="11777" max="11777" width="3.5546875" style="60" customWidth="1"/>
    <col min="11778" max="11778" width="29.6640625" style="60" customWidth="1"/>
    <col min="11779" max="11779" width="12.33203125" style="60" customWidth="1"/>
    <col min="11780" max="11780" width="10.44140625" style="60" customWidth="1"/>
    <col min="11781" max="11781" width="13.6640625" style="60" customWidth="1"/>
    <col min="11782" max="11782" width="9" style="60" customWidth="1"/>
    <col min="11783" max="11783" width="9.6640625" style="60" customWidth="1"/>
    <col min="11784" max="11784" width="10.5546875" style="60" customWidth="1"/>
    <col min="11785" max="11785" width="9" style="60" customWidth="1"/>
    <col min="11786" max="11786" width="8.44140625" style="60" customWidth="1"/>
    <col min="11787" max="11787" width="12.44140625" style="60" customWidth="1"/>
    <col min="11788" max="11788" width="5.5546875" style="60" customWidth="1"/>
    <col min="11789" max="11789" width="9.44140625" style="60" customWidth="1"/>
    <col min="11790" max="11790" width="9" style="60" customWidth="1"/>
    <col min="11791" max="11791" width="9.109375" style="60"/>
    <col min="11792" max="11792" width="11.5546875" style="60" bestFit="1" customWidth="1"/>
    <col min="11793" max="11793" width="9.109375" style="60"/>
    <col min="11794" max="11794" width="10.5546875" style="60" bestFit="1" customWidth="1"/>
    <col min="11795" max="12032" width="9.109375" style="60"/>
    <col min="12033" max="12033" width="3.5546875" style="60" customWidth="1"/>
    <col min="12034" max="12034" width="29.6640625" style="60" customWidth="1"/>
    <col min="12035" max="12035" width="12.33203125" style="60" customWidth="1"/>
    <col min="12036" max="12036" width="10.44140625" style="60" customWidth="1"/>
    <col min="12037" max="12037" width="13.6640625" style="60" customWidth="1"/>
    <col min="12038" max="12038" width="9" style="60" customWidth="1"/>
    <col min="12039" max="12039" width="9.6640625" style="60" customWidth="1"/>
    <col min="12040" max="12040" width="10.5546875" style="60" customWidth="1"/>
    <col min="12041" max="12041" width="9" style="60" customWidth="1"/>
    <col min="12042" max="12042" width="8.44140625" style="60" customWidth="1"/>
    <col min="12043" max="12043" width="12.44140625" style="60" customWidth="1"/>
    <col min="12044" max="12044" width="5.5546875" style="60" customWidth="1"/>
    <col min="12045" max="12045" width="9.44140625" style="60" customWidth="1"/>
    <col min="12046" max="12046" width="9" style="60" customWidth="1"/>
    <col min="12047" max="12047" width="9.109375" style="60"/>
    <col min="12048" max="12048" width="11.5546875" style="60" bestFit="1" customWidth="1"/>
    <col min="12049" max="12049" width="9.109375" style="60"/>
    <col min="12050" max="12050" width="10.5546875" style="60" bestFit="1" customWidth="1"/>
    <col min="12051" max="12288" width="9.109375" style="60"/>
    <col min="12289" max="12289" width="3.5546875" style="60" customWidth="1"/>
    <col min="12290" max="12290" width="29.6640625" style="60" customWidth="1"/>
    <col min="12291" max="12291" width="12.33203125" style="60" customWidth="1"/>
    <col min="12292" max="12292" width="10.44140625" style="60" customWidth="1"/>
    <col min="12293" max="12293" width="13.6640625" style="60" customWidth="1"/>
    <col min="12294" max="12294" width="9" style="60" customWidth="1"/>
    <col min="12295" max="12295" width="9.6640625" style="60" customWidth="1"/>
    <col min="12296" max="12296" width="10.5546875" style="60" customWidth="1"/>
    <col min="12297" max="12297" width="9" style="60" customWidth="1"/>
    <col min="12298" max="12298" width="8.44140625" style="60" customWidth="1"/>
    <col min="12299" max="12299" width="12.44140625" style="60" customWidth="1"/>
    <col min="12300" max="12300" width="5.5546875" style="60" customWidth="1"/>
    <col min="12301" max="12301" width="9.44140625" style="60" customWidth="1"/>
    <col min="12302" max="12302" width="9" style="60" customWidth="1"/>
    <col min="12303" max="12303" width="9.109375" style="60"/>
    <col min="12304" max="12304" width="11.5546875" style="60" bestFit="1" customWidth="1"/>
    <col min="12305" max="12305" width="9.109375" style="60"/>
    <col min="12306" max="12306" width="10.5546875" style="60" bestFit="1" customWidth="1"/>
    <col min="12307" max="12544" width="9.109375" style="60"/>
    <col min="12545" max="12545" width="3.5546875" style="60" customWidth="1"/>
    <col min="12546" max="12546" width="29.6640625" style="60" customWidth="1"/>
    <col min="12547" max="12547" width="12.33203125" style="60" customWidth="1"/>
    <col min="12548" max="12548" width="10.44140625" style="60" customWidth="1"/>
    <col min="12549" max="12549" width="13.6640625" style="60" customWidth="1"/>
    <col min="12550" max="12550" width="9" style="60" customWidth="1"/>
    <col min="12551" max="12551" width="9.6640625" style="60" customWidth="1"/>
    <col min="12552" max="12552" width="10.5546875" style="60" customWidth="1"/>
    <col min="12553" max="12553" width="9" style="60" customWidth="1"/>
    <col min="12554" max="12554" width="8.44140625" style="60" customWidth="1"/>
    <col min="12555" max="12555" width="12.44140625" style="60" customWidth="1"/>
    <col min="12556" max="12556" width="5.5546875" style="60" customWidth="1"/>
    <col min="12557" max="12557" width="9.44140625" style="60" customWidth="1"/>
    <col min="12558" max="12558" width="9" style="60" customWidth="1"/>
    <col min="12559" max="12559" width="9.109375" style="60"/>
    <col min="12560" max="12560" width="11.5546875" style="60" bestFit="1" customWidth="1"/>
    <col min="12561" max="12561" width="9.109375" style="60"/>
    <col min="12562" max="12562" width="10.5546875" style="60" bestFit="1" customWidth="1"/>
    <col min="12563" max="12800" width="9.109375" style="60"/>
    <col min="12801" max="12801" width="3.5546875" style="60" customWidth="1"/>
    <col min="12802" max="12802" width="29.6640625" style="60" customWidth="1"/>
    <col min="12803" max="12803" width="12.33203125" style="60" customWidth="1"/>
    <col min="12804" max="12804" width="10.44140625" style="60" customWidth="1"/>
    <col min="12805" max="12805" width="13.6640625" style="60" customWidth="1"/>
    <col min="12806" max="12806" width="9" style="60" customWidth="1"/>
    <col min="12807" max="12807" width="9.6640625" style="60" customWidth="1"/>
    <col min="12808" max="12808" width="10.5546875" style="60" customWidth="1"/>
    <col min="12809" max="12809" width="9" style="60" customWidth="1"/>
    <col min="12810" max="12810" width="8.44140625" style="60" customWidth="1"/>
    <col min="12811" max="12811" width="12.44140625" style="60" customWidth="1"/>
    <col min="12812" max="12812" width="5.5546875" style="60" customWidth="1"/>
    <col min="12813" max="12813" width="9.44140625" style="60" customWidth="1"/>
    <col min="12814" max="12814" width="9" style="60" customWidth="1"/>
    <col min="12815" max="12815" width="9.109375" style="60"/>
    <col min="12816" max="12816" width="11.5546875" style="60" bestFit="1" customWidth="1"/>
    <col min="12817" max="12817" width="9.109375" style="60"/>
    <col min="12818" max="12818" width="10.5546875" style="60" bestFit="1" customWidth="1"/>
    <col min="12819" max="13056" width="9.109375" style="60"/>
    <col min="13057" max="13057" width="3.5546875" style="60" customWidth="1"/>
    <col min="13058" max="13058" width="29.6640625" style="60" customWidth="1"/>
    <col min="13059" max="13059" width="12.33203125" style="60" customWidth="1"/>
    <col min="13060" max="13060" width="10.44140625" style="60" customWidth="1"/>
    <col min="13061" max="13061" width="13.6640625" style="60" customWidth="1"/>
    <col min="13062" max="13062" width="9" style="60" customWidth="1"/>
    <col min="13063" max="13063" width="9.6640625" style="60" customWidth="1"/>
    <col min="13064" max="13064" width="10.5546875" style="60" customWidth="1"/>
    <col min="13065" max="13065" width="9" style="60" customWidth="1"/>
    <col min="13066" max="13066" width="8.44140625" style="60" customWidth="1"/>
    <col min="13067" max="13067" width="12.44140625" style="60" customWidth="1"/>
    <col min="13068" max="13068" width="5.5546875" style="60" customWidth="1"/>
    <col min="13069" max="13069" width="9.44140625" style="60" customWidth="1"/>
    <col min="13070" max="13070" width="9" style="60" customWidth="1"/>
    <col min="13071" max="13071" width="9.109375" style="60"/>
    <col min="13072" max="13072" width="11.5546875" style="60" bestFit="1" customWidth="1"/>
    <col min="13073" max="13073" width="9.109375" style="60"/>
    <col min="13074" max="13074" width="10.5546875" style="60" bestFit="1" customWidth="1"/>
    <col min="13075" max="13312" width="9.109375" style="60"/>
    <col min="13313" max="13313" width="3.5546875" style="60" customWidth="1"/>
    <col min="13314" max="13314" width="29.6640625" style="60" customWidth="1"/>
    <col min="13315" max="13315" width="12.33203125" style="60" customWidth="1"/>
    <col min="13316" max="13316" width="10.44140625" style="60" customWidth="1"/>
    <col min="13317" max="13317" width="13.6640625" style="60" customWidth="1"/>
    <col min="13318" max="13318" width="9" style="60" customWidth="1"/>
    <col min="13319" max="13319" width="9.6640625" style="60" customWidth="1"/>
    <col min="13320" max="13320" width="10.5546875" style="60" customWidth="1"/>
    <col min="13321" max="13321" width="9" style="60" customWidth="1"/>
    <col min="13322" max="13322" width="8.44140625" style="60" customWidth="1"/>
    <col min="13323" max="13323" width="12.44140625" style="60" customWidth="1"/>
    <col min="13324" max="13324" width="5.5546875" style="60" customWidth="1"/>
    <col min="13325" max="13325" width="9.44140625" style="60" customWidth="1"/>
    <col min="13326" max="13326" width="9" style="60" customWidth="1"/>
    <col min="13327" max="13327" width="9.109375" style="60"/>
    <col min="13328" max="13328" width="11.5546875" style="60" bestFit="1" customWidth="1"/>
    <col min="13329" max="13329" width="9.109375" style="60"/>
    <col min="13330" max="13330" width="10.5546875" style="60" bestFit="1" customWidth="1"/>
    <col min="13331" max="13568" width="9.109375" style="60"/>
    <col min="13569" max="13569" width="3.5546875" style="60" customWidth="1"/>
    <col min="13570" max="13570" width="29.6640625" style="60" customWidth="1"/>
    <col min="13571" max="13571" width="12.33203125" style="60" customWidth="1"/>
    <col min="13572" max="13572" width="10.44140625" style="60" customWidth="1"/>
    <col min="13573" max="13573" width="13.6640625" style="60" customWidth="1"/>
    <col min="13574" max="13574" width="9" style="60" customWidth="1"/>
    <col min="13575" max="13575" width="9.6640625" style="60" customWidth="1"/>
    <col min="13576" max="13576" width="10.5546875" style="60" customWidth="1"/>
    <col min="13577" max="13577" width="9" style="60" customWidth="1"/>
    <col min="13578" max="13578" width="8.44140625" style="60" customWidth="1"/>
    <col min="13579" max="13579" width="12.44140625" style="60" customWidth="1"/>
    <col min="13580" max="13580" width="5.5546875" style="60" customWidth="1"/>
    <col min="13581" max="13581" width="9.44140625" style="60" customWidth="1"/>
    <col min="13582" max="13582" width="9" style="60" customWidth="1"/>
    <col min="13583" max="13583" width="9.109375" style="60"/>
    <col min="13584" max="13584" width="11.5546875" style="60" bestFit="1" customWidth="1"/>
    <col min="13585" max="13585" width="9.109375" style="60"/>
    <col min="13586" max="13586" width="10.5546875" style="60" bestFit="1" customWidth="1"/>
    <col min="13587" max="13824" width="9.109375" style="60"/>
    <col min="13825" max="13825" width="3.5546875" style="60" customWidth="1"/>
    <col min="13826" max="13826" width="29.6640625" style="60" customWidth="1"/>
    <col min="13827" max="13827" width="12.33203125" style="60" customWidth="1"/>
    <col min="13828" max="13828" width="10.44140625" style="60" customWidth="1"/>
    <col min="13829" max="13829" width="13.6640625" style="60" customWidth="1"/>
    <col min="13830" max="13830" width="9" style="60" customWidth="1"/>
    <col min="13831" max="13831" width="9.6640625" style="60" customWidth="1"/>
    <col min="13832" max="13832" width="10.5546875" style="60" customWidth="1"/>
    <col min="13833" max="13833" width="9" style="60" customWidth="1"/>
    <col min="13834" max="13834" width="8.44140625" style="60" customWidth="1"/>
    <col min="13835" max="13835" width="12.44140625" style="60" customWidth="1"/>
    <col min="13836" max="13836" width="5.5546875" style="60" customWidth="1"/>
    <col min="13837" max="13837" width="9.44140625" style="60" customWidth="1"/>
    <col min="13838" max="13838" width="9" style="60" customWidth="1"/>
    <col min="13839" max="13839" width="9.109375" style="60"/>
    <col min="13840" max="13840" width="11.5546875" style="60" bestFit="1" customWidth="1"/>
    <col min="13841" max="13841" width="9.109375" style="60"/>
    <col min="13842" max="13842" width="10.5546875" style="60" bestFit="1" customWidth="1"/>
    <col min="13843" max="14080" width="9.109375" style="60"/>
    <col min="14081" max="14081" width="3.5546875" style="60" customWidth="1"/>
    <col min="14082" max="14082" width="29.6640625" style="60" customWidth="1"/>
    <col min="14083" max="14083" width="12.33203125" style="60" customWidth="1"/>
    <col min="14084" max="14084" width="10.44140625" style="60" customWidth="1"/>
    <col min="14085" max="14085" width="13.6640625" style="60" customWidth="1"/>
    <col min="14086" max="14086" width="9" style="60" customWidth="1"/>
    <col min="14087" max="14087" width="9.6640625" style="60" customWidth="1"/>
    <col min="14088" max="14088" width="10.5546875" style="60" customWidth="1"/>
    <col min="14089" max="14089" width="9" style="60" customWidth="1"/>
    <col min="14090" max="14090" width="8.44140625" style="60" customWidth="1"/>
    <col min="14091" max="14091" width="12.44140625" style="60" customWidth="1"/>
    <col min="14092" max="14092" width="5.5546875" style="60" customWidth="1"/>
    <col min="14093" max="14093" width="9.44140625" style="60" customWidth="1"/>
    <col min="14094" max="14094" width="9" style="60" customWidth="1"/>
    <col min="14095" max="14095" width="9.109375" style="60"/>
    <col min="14096" max="14096" width="11.5546875" style="60" bestFit="1" customWidth="1"/>
    <col min="14097" max="14097" width="9.109375" style="60"/>
    <col min="14098" max="14098" width="10.5546875" style="60" bestFit="1" customWidth="1"/>
    <col min="14099" max="14336" width="9.109375" style="60"/>
    <col min="14337" max="14337" width="3.5546875" style="60" customWidth="1"/>
    <col min="14338" max="14338" width="29.6640625" style="60" customWidth="1"/>
    <col min="14339" max="14339" width="12.33203125" style="60" customWidth="1"/>
    <col min="14340" max="14340" width="10.44140625" style="60" customWidth="1"/>
    <col min="14341" max="14341" width="13.6640625" style="60" customWidth="1"/>
    <col min="14342" max="14342" width="9" style="60" customWidth="1"/>
    <col min="14343" max="14343" width="9.6640625" style="60" customWidth="1"/>
    <col min="14344" max="14344" width="10.5546875" style="60" customWidth="1"/>
    <col min="14345" max="14345" width="9" style="60" customWidth="1"/>
    <col min="14346" max="14346" width="8.44140625" style="60" customWidth="1"/>
    <col min="14347" max="14347" width="12.44140625" style="60" customWidth="1"/>
    <col min="14348" max="14348" width="5.5546875" style="60" customWidth="1"/>
    <col min="14349" max="14349" width="9.44140625" style="60" customWidth="1"/>
    <col min="14350" max="14350" width="9" style="60" customWidth="1"/>
    <col min="14351" max="14351" width="9.109375" style="60"/>
    <col min="14352" max="14352" width="11.5546875" style="60" bestFit="1" customWidth="1"/>
    <col min="14353" max="14353" width="9.109375" style="60"/>
    <col min="14354" max="14354" width="10.5546875" style="60" bestFit="1" customWidth="1"/>
    <col min="14355" max="14592" width="9.109375" style="60"/>
    <col min="14593" max="14593" width="3.5546875" style="60" customWidth="1"/>
    <col min="14594" max="14594" width="29.6640625" style="60" customWidth="1"/>
    <col min="14595" max="14595" width="12.33203125" style="60" customWidth="1"/>
    <col min="14596" max="14596" width="10.44140625" style="60" customWidth="1"/>
    <col min="14597" max="14597" width="13.6640625" style="60" customWidth="1"/>
    <col min="14598" max="14598" width="9" style="60" customWidth="1"/>
    <col min="14599" max="14599" width="9.6640625" style="60" customWidth="1"/>
    <col min="14600" max="14600" width="10.5546875" style="60" customWidth="1"/>
    <col min="14601" max="14601" width="9" style="60" customWidth="1"/>
    <col min="14602" max="14602" width="8.44140625" style="60" customWidth="1"/>
    <col min="14603" max="14603" width="12.44140625" style="60" customWidth="1"/>
    <col min="14604" max="14604" width="5.5546875" style="60" customWidth="1"/>
    <col min="14605" max="14605" width="9.44140625" style="60" customWidth="1"/>
    <col min="14606" max="14606" width="9" style="60" customWidth="1"/>
    <col min="14607" max="14607" width="9.109375" style="60"/>
    <col min="14608" max="14608" width="11.5546875" style="60" bestFit="1" customWidth="1"/>
    <col min="14609" max="14609" width="9.109375" style="60"/>
    <col min="14610" max="14610" width="10.5546875" style="60" bestFit="1" customWidth="1"/>
    <col min="14611" max="14848" width="9.109375" style="60"/>
    <col min="14849" max="14849" width="3.5546875" style="60" customWidth="1"/>
    <col min="14850" max="14850" width="29.6640625" style="60" customWidth="1"/>
    <col min="14851" max="14851" width="12.33203125" style="60" customWidth="1"/>
    <col min="14852" max="14852" width="10.44140625" style="60" customWidth="1"/>
    <col min="14853" max="14853" width="13.6640625" style="60" customWidth="1"/>
    <col min="14854" max="14854" width="9" style="60" customWidth="1"/>
    <col min="14855" max="14855" width="9.6640625" style="60" customWidth="1"/>
    <col min="14856" max="14856" width="10.5546875" style="60" customWidth="1"/>
    <col min="14857" max="14857" width="9" style="60" customWidth="1"/>
    <col min="14858" max="14858" width="8.44140625" style="60" customWidth="1"/>
    <col min="14859" max="14859" width="12.44140625" style="60" customWidth="1"/>
    <col min="14860" max="14860" width="5.5546875" style="60" customWidth="1"/>
    <col min="14861" max="14861" width="9.44140625" style="60" customWidth="1"/>
    <col min="14862" max="14862" width="9" style="60" customWidth="1"/>
    <col min="14863" max="14863" width="9.109375" style="60"/>
    <col min="14864" max="14864" width="11.5546875" style="60" bestFit="1" customWidth="1"/>
    <col min="14865" max="14865" width="9.109375" style="60"/>
    <col min="14866" max="14866" width="10.5546875" style="60" bestFit="1" customWidth="1"/>
    <col min="14867" max="15104" width="9.109375" style="60"/>
    <col min="15105" max="15105" width="3.5546875" style="60" customWidth="1"/>
    <col min="15106" max="15106" width="29.6640625" style="60" customWidth="1"/>
    <col min="15107" max="15107" width="12.33203125" style="60" customWidth="1"/>
    <col min="15108" max="15108" width="10.44140625" style="60" customWidth="1"/>
    <col min="15109" max="15109" width="13.6640625" style="60" customWidth="1"/>
    <col min="15110" max="15110" width="9" style="60" customWidth="1"/>
    <col min="15111" max="15111" width="9.6640625" style="60" customWidth="1"/>
    <col min="15112" max="15112" width="10.5546875" style="60" customWidth="1"/>
    <col min="15113" max="15113" width="9" style="60" customWidth="1"/>
    <col min="15114" max="15114" width="8.44140625" style="60" customWidth="1"/>
    <col min="15115" max="15115" width="12.44140625" style="60" customWidth="1"/>
    <col min="15116" max="15116" width="5.5546875" style="60" customWidth="1"/>
    <col min="15117" max="15117" width="9.44140625" style="60" customWidth="1"/>
    <col min="15118" max="15118" width="9" style="60" customWidth="1"/>
    <col min="15119" max="15119" width="9.109375" style="60"/>
    <col min="15120" max="15120" width="11.5546875" style="60" bestFit="1" customWidth="1"/>
    <col min="15121" max="15121" width="9.109375" style="60"/>
    <col min="15122" max="15122" width="10.5546875" style="60" bestFit="1" customWidth="1"/>
    <col min="15123" max="15360" width="9.109375" style="60"/>
    <col min="15361" max="15361" width="3.5546875" style="60" customWidth="1"/>
    <col min="15362" max="15362" width="29.6640625" style="60" customWidth="1"/>
    <col min="15363" max="15363" width="12.33203125" style="60" customWidth="1"/>
    <col min="15364" max="15364" width="10.44140625" style="60" customWidth="1"/>
    <col min="15365" max="15365" width="13.6640625" style="60" customWidth="1"/>
    <col min="15366" max="15366" width="9" style="60" customWidth="1"/>
    <col min="15367" max="15367" width="9.6640625" style="60" customWidth="1"/>
    <col min="15368" max="15368" width="10.5546875" style="60" customWidth="1"/>
    <col min="15369" max="15369" width="9" style="60" customWidth="1"/>
    <col min="15370" max="15370" width="8.44140625" style="60" customWidth="1"/>
    <col min="15371" max="15371" width="12.44140625" style="60" customWidth="1"/>
    <col min="15372" max="15372" width="5.5546875" style="60" customWidth="1"/>
    <col min="15373" max="15373" width="9.44140625" style="60" customWidth="1"/>
    <col min="15374" max="15374" width="9" style="60" customWidth="1"/>
    <col min="15375" max="15375" width="9.109375" style="60"/>
    <col min="15376" max="15376" width="11.5546875" style="60" bestFit="1" customWidth="1"/>
    <col min="15377" max="15377" width="9.109375" style="60"/>
    <col min="15378" max="15378" width="10.5546875" style="60" bestFit="1" customWidth="1"/>
    <col min="15379" max="15616" width="9.109375" style="60"/>
    <col min="15617" max="15617" width="3.5546875" style="60" customWidth="1"/>
    <col min="15618" max="15618" width="29.6640625" style="60" customWidth="1"/>
    <col min="15619" max="15619" width="12.33203125" style="60" customWidth="1"/>
    <col min="15620" max="15620" width="10.44140625" style="60" customWidth="1"/>
    <col min="15621" max="15621" width="13.6640625" style="60" customWidth="1"/>
    <col min="15622" max="15622" width="9" style="60" customWidth="1"/>
    <col min="15623" max="15623" width="9.6640625" style="60" customWidth="1"/>
    <col min="15624" max="15624" width="10.5546875" style="60" customWidth="1"/>
    <col min="15625" max="15625" width="9" style="60" customWidth="1"/>
    <col min="15626" max="15626" width="8.44140625" style="60" customWidth="1"/>
    <col min="15627" max="15627" width="12.44140625" style="60" customWidth="1"/>
    <col min="15628" max="15628" width="5.5546875" style="60" customWidth="1"/>
    <col min="15629" max="15629" width="9.44140625" style="60" customWidth="1"/>
    <col min="15630" max="15630" width="9" style="60" customWidth="1"/>
    <col min="15631" max="15631" width="9.109375" style="60"/>
    <col min="15632" max="15632" width="11.5546875" style="60" bestFit="1" customWidth="1"/>
    <col min="15633" max="15633" width="9.109375" style="60"/>
    <col min="15634" max="15634" width="10.5546875" style="60" bestFit="1" customWidth="1"/>
    <col min="15635" max="15872" width="9.109375" style="60"/>
    <col min="15873" max="15873" width="3.5546875" style="60" customWidth="1"/>
    <col min="15874" max="15874" width="29.6640625" style="60" customWidth="1"/>
    <col min="15875" max="15875" width="12.33203125" style="60" customWidth="1"/>
    <col min="15876" max="15876" width="10.44140625" style="60" customWidth="1"/>
    <col min="15877" max="15877" width="13.6640625" style="60" customWidth="1"/>
    <col min="15878" max="15878" width="9" style="60" customWidth="1"/>
    <col min="15879" max="15879" width="9.6640625" style="60" customWidth="1"/>
    <col min="15880" max="15880" width="10.5546875" style="60" customWidth="1"/>
    <col min="15881" max="15881" width="9" style="60" customWidth="1"/>
    <col min="15882" max="15882" width="8.44140625" style="60" customWidth="1"/>
    <col min="15883" max="15883" width="12.44140625" style="60" customWidth="1"/>
    <col min="15884" max="15884" width="5.5546875" style="60" customWidth="1"/>
    <col min="15885" max="15885" width="9.44140625" style="60" customWidth="1"/>
    <col min="15886" max="15886" width="9" style="60" customWidth="1"/>
    <col min="15887" max="15887" width="9.109375" style="60"/>
    <col min="15888" max="15888" width="11.5546875" style="60" bestFit="1" customWidth="1"/>
    <col min="15889" max="15889" width="9.109375" style="60"/>
    <col min="15890" max="15890" width="10.5546875" style="60" bestFit="1" customWidth="1"/>
    <col min="15891" max="16128" width="9.109375" style="60"/>
    <col min="16129" max="16129" width="3.5546875" style="60" customWidth="1"/>
    <col min="16130" max="16130" width="29.6640625" style="60" customWidth="1"/>
    <col min="16131" max="16131" width="12.33203125" style="60" customWidth="1"/>
    <col min="16132" max="16132" width="10.44140625" style="60" customWidth="1"/>
    <col min="16133" max="16133" width="13.6640625" style="60" customWidth="1"/>
    <col min="16134" max="16134" width="9" style="60" customWidth="1"/>
    <col min="16135" max="16135" width="9.6640625" style="60" customWidth="1"/>
    <col min="16136" max="16136" width="10.5546875" style="60" customWidth="1"/>
    <col min="16137" max="16137" width="9" style="60" customWidth="1"/>
    <col min="16138" max="16138" width="8.44140625" style="60" customWidth="1"/>
    <col min="16139" max="16139" width="12.44140625" style="60" customWidth="1"/>
    <col min="16140" max="16140" width="5.5546875" style="60" customWidth="1"/>
    <col min="16141" max="16141" width="9.44140625" style="60" customWidth="1"/>
    <col min="16142" max="16142" width="9" style="60" customWidth="1"/>
    <col min="16143" max="16143" width="9.109375" style="60"/>
    <col min="16144" max="16144" width="11.5546875" style="60" bestFit="1" customWidth="1"/>
    <col min="16145" max="16145" width="9.109375" style="60"/>
    <col min="16146" max="16146" width="10.5546875" style="60" bestFit="1" customWidth="1"/>
    <col min="16147" max="16384" width="9.109375" style="60"/>
  </cols>
  <sheetData>
    <row r="1" spans="1:19" ht="12.75" customHeight="1">
      <c r="A1" s="234"/>
      <c r="B1" s="234"/>
      <c r="C1" s="235"/>
      <c r="D1" s="235"/>
      <c r="E1" s="235"/>
      <c r="F1" s="235"/>
      <c r="G1" s="235"/>
      <c r="I1" s="235"/>
      <c r="J1" s="373" t="s">
        <v>828</v>
      </c>
      <c r="K1" s="373"/>
      <c r="L1" s="373"/>
      <c r="M1" s="373"/>
      <c r="N1" s="373"/>
    </row>
    <row r="2" spans="1:19" ht="12.75" customHeight="1">
      <c r="A2" s="234"/>
      <c r="B2" s="234"/>
      <c r="C2" s="235"/>
      <c r="D2" s="235"/>
      <c r="E2" s="235"/>
      <c r="F2" s="235"/>
      <c r="G2" s="235"/>
      <c r="I2" s="235"/>
      <c r="J2" s="373" t="s">
        <v>1150</v>
      </c>
      <c r="K2" s="373"/>
      <c r="L2" s="373"/>
      <c r="M2" s="373"/>
      <c r="N2" s="373"/>
    </row>
    <row r="3" spans="1:19">
      <c r="A3" s="234"/>
      <c r="B3" s="234"/>
      <c r="C3" s="235"/>
      <c r="D3" s="235"/>
      <c r="E3" s="235"/>
      <c r="F3" s="235"/>
      <c r="G3" s="235"/>
      <c r="I3" s="235"/>
      <c r="J3" s="236"/>
      <c r="K3" s="236"/>
      <c r="L3" s="236"/>
      <c r="M3" s="236"/>
      <c r="N3" s="236"/>
    </row>
    <row r="4" spans="1:19">
      <c r="A4" s="234"/>
      <c r="B4" s="234"/>
      <c r="C4" s="235"/>
      <c r="D4" s="235"/>
      <c r="E4" s="235"/>
      <c r="F4" s="235"/>
      <c r="G4" s="235"/>
      <c r="I4" s="235"/>
      <c r="J4" s="374"/>
      <c r="K4" s="374"/>
      <c r="L4" s="374"/>
      <c r="M4" s="374"/>
      <c r="N4" s="374"/>
    </row>
    <row r="5" spans="1:19" ht="12.75" customHeight="1">
      <c r="A5" s="234"/>
      <c r="B5" s="234"/>
      <c r="C5" s="235"/>
      <c r="D5" s="235"/>
      <c r="E5" s="235"/>
      <c r="F5" s="235"/>
      <c r="G5" s="235"/>
      <c r="I5" s="235"/>
      <c r="J5" s="375" t="s">
        <v>829</v>
      </c>
      <c r="K5" s="375"/>
      <c r="L5" s="375"/>
      <c r="M5" s="375"/>
      <c r="N5" s="375"/>
    </row>
    <row r="6" spans="1:19" ht="12.75" customHeight="1">
      <c r="A6" s="234"/>
      <c r="B6" s="234"/>
      <c r="C6" s="235"/>
      <c r="D6" s="235"/>
      <c r="E6" s="235"/>
      <c r="F6" s="235"/>
      <c r="G6" s="235"/>
      <c r="I6" s="235"/>
      <c r="J6" s="376"/>
      <c r="K6" s="377"/>
      <c r="L6" s="377"/>
      <c r="M6" s="377"/>
      <c r="N6" s="377"/>
    </row>
    <row r="7" spans="1:19" ht="12.75" customHeight="1">
      <c r="A7" s="234"/>
      <c r="B7" s="234"/>
      <c r="C7" s="235"/>
      <c r="D7" s="235"/>
      <c r="E7" s="235"/>
      <c r="F7" s="235"/>
      <c r="G7" s="235"/>
      <c r="I7" s="235"/>
      <c r="J7" s="237"/>
      <c r="K7" s="237"/>
      <c r="L7" s="237"/>
      <c r="M7" s="237"/>
      <c r="N7" s="237"/>
    </row>
    <row r="8" spans="1:19" ht="15.75" customHeight="1">
      <c r="A8" s="372" t="s">
        <v>830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9" s="239" customFormat="1" ht="108" customHeight="1">
      <c r="A9" s="238" t="s">
        <v>831</v>
      </c>
      <c r="B9" s="238" t="s">
        <v>832</v>
      </c>
      <c r="C9" s="238" t="s">
        <v>833</v>
      </c>
      <c r="D9" s="238" t="s">
        <v>834</v>
      </c>
      <c r="E9" s="238" t="s">
        <v>835</v>
      </c>
      <c r="F9" s="238" t="s">
        <v>836</v>
      </c>
      <c r="G9" s="238" t="s">
        <v>837</v>
      </c>
      <c r="H9" s="71" t="s">
        <v>1297</v>
      </c>
      <c r="I9" s="238" t="s">
        <v>838</v>
      </c>
      <c r="J9" s="238" t="s">
        <v>839</v>
      </c>
      <c r="K9" s="238" t="s">
        <v>840</v>
      </c>
      <c r="L9" s="238" t="s">
        <v>841</v>
      </c>
      <c r="M9" s="238" t="s">
        <v>842</v>
      </c>
      <c r="N9" s="238" t="s">
        <v>1015</v>
      </c>
      <c r="R9" s="239" t="s">
        <v>1308</v>
      </c>
      <c r="S9" s="239" t="s">
        <v>1309</v>
      </c>
    </row>
    <row r="10" spans="1:19" s="241" customFormat="1" ht="10.199999999999999">
      <c r="A10" s="240">
        <v>1</v>
      </c>
      <c r="B10" s="240">
        <v>2</v>
      </c>
      <c r="C10" s="240">
        <v>3</v>
      </c>
      <c r="D10" s="240">
        <v>4</v>
      </c>
      <c r="E10" s="240">
        <v>5</v>
      </c>
      <c r="F10" s="240">
        <v>6</v>
      </c>
      <c r="G10" s="240">
        <v>7</v>
      </c>
      <c r="H10" s="71">
        <v>8</v>
      </c>
      <c r="I10" s="240">
        <v>9</v>
      </c>
      <c r="J10" s="240">
        <v>10</v>
      </c>
      <c r="K10" s="240">
        <v>11</v>
      </c>
      <c r="L10" s="240">
        <v>12</v>
      </c>
      <c r="M10" s="240">
        <v>13</v>
      </c>
      <c r="N10" s="240">
        <v>14</v>
      </c>
    </row>
    <row r="11" spans="1:19" ht="76.8" hidden="1" customHeight="1">
      <c r="A11" s="67"/>
      <c r="B11" s="67" t="s">
        <v>1286</v>
      </c>
      <c r="C11" s="68">
        <v>15414</v>
      </c>
      <c r="D11" s="69">
        <v>40</v>
      </c>
      <c r="E11" s="69">
        <v>1</v>
      </c>
      <c r="F11" s="69">
        <f>D11/E11</f>
        <v>40</v>
      </c>
      <c r="G11" s="69"/>
      <c r="H11" s="71">
        <v>1</v>
      </c>
      <c r="I11" s="69">
        <f>F11</f>
        <v>40</v>
      </c>
      <c r="J11" s="68">
        <f t="shared" ref="J11:J16" si="0">C11/I11</f>
        <v>385.35</v>
      </c>
      <c r="K11" s="70"/>
      <c r="L11" s="70">
        <v>0.05</v>
      </c>
      <c r="M11" s="68">
        <f t="shared" ref="M11:M46" si="1">J11+J11*K11+J11*L11</f>
        <v>404.61750000000001</v>
      </c>
      <c r="N11" s="68">
        <f t="shared" ref="N11:N27" si="2">ROUND(M11/10,0)*10</f>
        <v>400</v>
      </c>
    </row>
    <row r="12" spans="1:19" ht="25.95" hidden="1" customHeight="1">
      <c r="A12" s="67"/>
      <c r="B12" s="242" t="s">
        <v>950</v>
      </c>
      <c r="C12" s="68">
        <f>1122.73+1052.73</f>
        <v>2175.46</v>
      </c>
      <c r="D12" s="69" t="s">
        <v>1016</v>
      </c>
      <c r="E12" s="69">
        <v>0.15</v>
      </c>
      <c r="F12" s="72">
        <f>9/E12</f>
        <v>60</v>
      </c>
      <c r="G12" s="70">
        <v>0.15</v>
      </c>
      <c r="H12" s="73"/>
      <c r="I12" s="72">
        <f>F12*0.85</f>
        <v>51</v>
      </c>
      <c r="J12" s="68">
        <f t="shared" si="0"/>
        <v>42.656078431372549</v>
      </c>
      <c r="K12" s="70">
        <v>0.4</v>
      </c>
      <c r="L12" s="70">
        <v>0.2</v>
      </c>
      <c r="M12" s="68">
        <f t="shared" si="1"/>
        <v>68.249725490196084</v>
      </c>
      <c r="N12" s="68">
        <f t="shared" si="2"/>
        <v>70</v>
      </c>
    </row>
    <row r="13" spans="1:19" ht="40.200000000000003" hidden="1" customHeight="1">
      <c r="A13" s="67"/>
      <c r="B13" s="242" t="s">
        <v>949</v>
      </c>
      <c r="C13" s="68">
        <f>(1436+1436)</f>
        <v>2872</v>
      </c>
      <c r="D13" s="69" t="s">
        <v>1016</v>
      </c>
      <c r="E13" s="69">
        <v>0.15</v>
      </c>
      <c r="F13" s="72">
        <f>9/E13</f>
        <v>60</v>
      </c>
      <c r="G13" s="70">
        <v>0.15</v>
      </c>
      <c r="H13" s="73"/>
      <c r="I13" s="72">
        <f>F13*0.85</f>
        <v>51</v>
      </c>
      <c r="J13" s="68">
        <f t="shared" si="0"/>
        <v>56.313725490196077</v>
      </c>
      <c r="K13" s="70">
        <v>0.4</v>
      </c>
      <c r="L13" s="70">
        <v>0.2</v>
      </c>
      <c r="M13" s="68">
        <f t="shared" si="1"/>
        <v>90.101960784313732</v>
      </c>
      <c r="N13" s="68">
        <f t="shared" si="2"/>
        <v>90</v>
      </c>
    </row>
    <row r="14" spans="1:19" ht="15" hidden="1" customHeight="1">
      <c r="A14" s="67"/>
      <c r="B14" s="67" t="s">
        <v>899</v>
      </c>
      <c r="C14" s="68">
        <v>2620</v>
      </c>
      <c r="D14" s="69">
        <f>4*0.75</f>
        <v>3</v>
      </c>
      <c r="E14" s="69">
        <v>0.1</v>
      </c>
      <c r="F14" s="69">
        <v>60</v>
      </c>
      <c r="G14" s="69"/>
      <c r="H14" s="71"/>
      <c r="I14" s="69">
        <f>F14</f>
        <v>60</v>
      </c>
      <c r="J14" s="68">
        <f t="shared" si="0"/>
        <v>43.666666666666664</v>
      </c>
      <c r="K14" s="70">
        <v>0.3</v>
      </c>
      <c r="L14" s="70">
        <v>0.2</v>
      </c>
      <c r="M14" s="68">
        <f t="shared" si="1"/>
        <v>65.5</v>
      </c>
      <c r="N14" s="68">
        <f t="shared" si="2"/>
        <v>70</v>
      </c>
    </row>
    <row r="15" spans="1:19" ht="15" hidden="1" customHeight="1">
      <c r="A15" s="67"/>
      <c r="B15" s="67" t="s">
        <v>1133</v>
      </c>
      <c r="C15" s="68">
        <v>4125</v>
      </c>
      <c r="D15" s="69">
        <v>22</v>
      </c>
      <c r="E15" s="69">
        <v>0.2</v>
      </c>
      <c r="F15" s="69">
        <f>D15/E15</f>
        <v>110</v>
      </c>
      <c r="G15" s="69">
        <v>0.15</v>
      </c>
      <c r="H15" s="71" t="s">
        <v>844</v>
      </c>
      <c r="I15" s="69">
        <f>F15*0.85</f>
        <v>93.5</v>
      </c>
      <c r="J15" s="68">
        <f t="shared" si="0"/>
        <v>44.117647058823529</v>
      </c>
      <c r="K15" s="70">
        <v>0.5</v>
      </c>
      <c r="L15" s="70">
        <v>0.25</v>
      </c>
      <c r="M15" s="68">
        <f t="shared" si="1"/>
        <v>77.205882352941174</v>
      </c>
      <c r="N15" s="68">
        <f t="shared" si="2"/>
        <v>80</v>
      </c>
    </row>
    <row r="16" spans="1:19" ht="28.8" hidden="1" customHeight="1">
      <c r="A16" s="67"/>
      <c r="B16" s="67" t="s">
        <v>1097</v>
      </c>
      <c r="C16" s="68">
        <v>4125</v>
      </c>
      <c r="D16" s="69">
        <v>22</v>
      </c>
      <c r="E16" s="69">
        <v>0.15</v>
      </c>
      <c r="F16" s="69">
        <f>D16/E16</f>
        <v>146.66666666666669</v>
      </c>
      <c r="G16" s="69"/>
      <c r="H16" s="71"/>
      <c r="I16" s="69">
        <f>F16</f>
        <v>146.66666666666669</v>
      </c>
      <c r="J16" s="68">
        <f t="shared" si="0"/>
        <v>28.124999999999996</v>
      </c>
      <c r="K16" s="70">
        <v>0.4</v>
      </c>
      <c r="L16" s="70">
        <v>0.2</v>
      </c>
      <c r="M16" s="68">
        <f t="shared" si="1"/>
        <v>45</v>
      </c>
      <c r="N16" s="68">
        <f t="shared" si="2"/>
        <v>50</v>
      </c>
      <c r="O16" s="75"/>
    </row>
    <row r="17" spans="1:15" ht="57" hidden="1" customHeight="1">
      <c r="A17" s="67"/>
      <c r="B17" s="67" t="s">
        <v>941</v>
      </c>
      <c r="C17" s="68">
        <v>2165</v>
      </c>
      <c r="D17" s="69">
        <v>10</v>
      </c>
      <c r="E17" s="69">
        <v>0.2</v>
      </c>
      <c r="F17" s="69">
        <f>D17/E17</f>
        <v>50</v>
      </c>
      <c r="G17" s="70">
        <v>0.2</v>
      </c>
      <c r="H17" s="71">
        <v>1.5</v>
      </c>
      <c r="I17" s="69">
        <v>1</v>
      </c>
      <c r="J17" s="68">
        <f>C17/F17*0.8*H17*I17</f>
        <v>51.96</v>
      </c>
      <c r="K17" s="70">
        <v>0.5</v>
      </c>
      <c r="L17" s="70">
        <v>0.25</v>
      </c>
      <c r="M17" s="68">
        <f t="shared" ref="M17" si="3">J17+J17*K17+J17*L17</f>
        <v>90.929999999999993</v>
      </c>
      <c r="N17" s="68">
        <f t="shared" ref="N17" si="4">ROUND(M17/10,0)*10</f>
        <v>90</v>
      </c>
      <c r="O17" s="75"/>
    </row>
    <row r="18" spans="1:15" s="338" customFormat="1" ht="84" customHeight="1">
      <c r="A18" s="245"/>
      <c r="B18" s="245" t="s">
        <v>1410</v>
      </c>
      <c r="C18" s="246">
        <v>330</v>
      </c>
      <c r="D18" s="247">
        <v>20</v>
      </c>
      <c r="E18" s="247">
        <v>0.2</v>
      </c>
      <c r="F18" s="247">
        <f>D18/E18</f>
        <v>100</v>
      </c>
      <c r="G18" s="249">
        <v>0.2</v>
      </c>
      <c r="H18" s="248">
        <v>1.5</v>
      </c>
      <c r="I18" s="247">
        <v>1</v>
      </c>
      <c r="J18" s="246">
        <f>C18/F18*0.8*H18*I18</f>
        <v>3.96</v>
      </c>
      <c r="K18" s="249">
        <v>0.5</v>
      </c>
      <c r="L18" s="249">
        <v>0.25</v>
      </c>
      <c r="M18" s="246">
        <f t="shared" si="1"/>
        <v>6.93</v>
      </c>
      <c r="N18" s="246">
        <f t="shared" si="2"/>
        <v>10</v>
      </c>
      <c r="O18" s="337"/>
    </row>
    <row r="19" spans="1:15" ht="34.799999999999997" hidden="1" customHeight="1">
      <c r="A19" s="67"/>
      <c r="B19" s="67" t="s">
        <v>937</v>
      </c>
      <c r="C19" s="68">
        <v>8102</v>
      </c>
      <c r="D19" s="69">
        <v>0.5</v>
      </c>
      <c r="E19" s="69">
        <v>0.5</v>
      </c>
      <c r="F19" s="69">
        <v>1</v>
      </c>
      <c r="G19" s="69"/>
      <c r="H19" s="71">
        <v>1</v>
      </c>
      <c r="I19" s="69">
        <v>1</v>
      </c>
      <c r="J19" s="68">
        <f t="shared" ref="J19:J46" si="5">C19/I19</f>
        <v>8102</v>
      </c>
      <c r="K19" s="70">
        <v>0.15</v>
      </c>
      <c r="L19" s="70">
        <v>0.25</v>
      </c>
      <c r="M19" s="74">
        <f t="shared" si="1"/>
        <v>11342.8</v>
      </c>
      <c r="N19" s="74">
        <f t="shared" si="2"/>
        <v>11340</v>
      </c>
    </row>
    <row r="20" spans="1:15" ht="37.799999999999997" hidden="1" customHeight="1">
      <c r="A20" s="67"/>
      <c r="B20" s="67" t="s">
        <v>938</v>
      </c>
      <c r="C20" s="68">
        <f>8102*2</f>
        <v>16204</v>
      </c>
      <c r="D20" s="69">
        <v>1</v>
      </c>
      <c r="E20" s="69">
        <v>1</v>
      </c>
      <c r="F20" s="69">
        <v>1</v>
      </c>
      <c r="G20" s="69"/>
      <c r="H20" s="71">
        <v>1</v>
      </c>
      <c r="I20" s="69">
        <v>1</v>
      </c>
      <c r="J20" s="68">
        <f t="shared" si="5"/>
        <v>16204</v>
      </c>
      <c r="K20" s="70"/>
      <c r="L20" s="70">
        <v>0.25</v>
      </c>
      <c r="M20" s="68">
        <f t="shared" si="1"/>
        <v>20255</v>
      </c>
      <c r="N20" s="68">
        <f t="shared" si="2"/>
        <v>20260</v>
      </c>
    </row>
    <row r="21" spans="1:15" ht="36" hidden="1" customHeight="1">
      <c r="A21" s="67"/>
      <c r="B21" s="67" t="s">
        <v>939</v>
      </c>
      <c r="C21" s="68">
        <f>8102*3</f>
        <v>24306</v>
      </c>
      <c r="D21" s="69">
        <v>1.5</v>
      </c>
      <c r="E21" s="69">
        <v>1.5</v>
      </c>
      <c r="F21" s="69">
        <v>1</v>
      </c>
      <c r="G21" s="69"/>
      <c r="H21" s="71">
        <v>1</v>
      </c>
      <c r="I21" s="69">
        <v>1</v>
      </c>
      <c r="J21" s="68">
        <f t="shared" si="5"/>
        <v>24306</v>
      </c>
      <c r="K21" s="70"/>
      <c r="L21" s="70">
        <v>0.25</v>
      </c>
      <c r="M21" s="68">
        <f t="shared" si="1"/>
        <v>30382.5</v>
      </c>
      <c r="N21" s="68">
        <f t="shared" si="2"/>
        <v>30380</v>
      </c>
    </row>
    <row r="22" spans="1:15" ht="15" hidden="1" customHeight="1">
      <c r="A22" s="67"/>
      <c r="B22" s="67" t="s">
        <v>890</v>
      </c>
      <c r="C22" s="68">
        <v>3015</v>
      </c>
      <c r="D22" s="69">
        <f>30</f>
        <v>30</v>
      </c>
      <c r="E22" s="69">
        <v>0.1</v>
      </c>
      <c r="F22" s="69">
        <f>D22/E22</f>
        <v>300</v>
      </c>
      <c r="G22" s="69"/>
      <c r="H22" s="71"/>
      <c r="I22" s="69">
        <f>F22</f>
        <v>300</v>
      </c>
      <c r="J22" s="68">
        <f t="shared" si="5"/>
        <v>10.050000000000001</v>
      </c>
      <c r="K22" s="70">
        <v>0.3</v>
      </c>
      <c r="L22" s="70">
        <v>0.2</v>
      </c>
      <c r="M22" s="68">
        <f t="shared" si="1"/>
        <v>15.075000000000001</v>
      </c>
      <c r="N22" s="68">
        <f t="shared" si="2"/>
        <v>20</v>
      </c>
    </row>
    <row r="23" spans="1:15" ht="31.2" hidden="1" customHeight="1">
      <c r="A23" s="67"/>
      <c r="B23" s="67" t="s">
        <v>1132</v>
      </c>
      <c r="C23" s="68">
        <v>2341</v>
      </c>
      <c r="D23" s="69">
        <v>4</v>
      </c>
      <c r="E23" s="69">
        <v>0.15</v>
      </c>
      <c r="F23" s="69">
        <f>D23/E23</f>
        <v>26.666666666666668</v>
      </c>
      <c r="G23" s="69"/>
      <c r="H23" s="71"/>
      <c r="I23" s="69">
        <f>F23</f>
        <v>26.666666666666668</v>
      </c>
      <c r="J23" s="68">
        <f t="shared" si="5"/>
        <v>87.787499999999994</v>
      </c>
      <c r="K23" s="70">
        <v>0.4</v>
      </c>
      <c r="L23" s="70">
        <v>0.2</v>
      </c>
      <c r="M23" s="68">
        <f t="shared" si="1"/>
        <v>140.46</v>
      </c>
      <c r="N23" s="68">
        <f t="shared" si="2"/>
        <v>140</v>
      </c>
    </row>
    <row r="24" spans="1:15" ht="47.4" hidden="1" customHeight="1">
      <c r="A24" s="67"/>
      <c r="B24" s="67" t="s">
        <v>879</v>
      </c>
      <c r="C24" s="68">
        <f>44844/3</f>
        <v>14948</v>
      </c>
      <c r="D24" s="69">
        <v>32</v>
      </c>
      <c r="E24" s="69">
        <v>0.15</v>
      </c>
      <c r="F24" s="69">
        <f>D24/E24</f>
        <v>213.33333333333334</v>
      </c>
      <c r="G24" s="69">
        <v>0.15</v>
      </c>
      <c r="H24" s="71" t="s">
        <v>844</v>
      </c>
      <c r="I24" s="69">
        <f>F24*0.85</f>
        <v>181.33333333333334</v>
      </c>
      <c r="J24" s="68">
        <f t="shared" si="5"/>
        <v>82.433823529411754</v>
      </c>
      <c r="K24" s="70">
        <v>0.5</v>
      </c>
      <c r="L24" s="70">
        <v>0.25</v>
      </c>
      <c r="M24" s="68">
        <f t="shared" si="1"/>
        <v>144.25919117647055</v>
      </c>
      <c r="N24" s="68">
        <f t="shared" si="2"/>
        <v>140</v>
      </c>
    </row>
    <row r="25" spans="1:15" ht="31.2" hidden="1" customHeight="1">
      <c r="A25" s="67"/>
      <c r="B25" s="67" t="s">
        <v>1095</v>
      </c>
      <c r="C25" s="68">
        <v>6134</v>
      </c>
      <c r="D25" s="69">
        <v>31.5</v>
      </c>
      <c r="E25" s="69">
        <v>0.15</v>
      </c>
      <c r="F25" s="69">
        <f>D25/E25</f>
        <v>210</v>
      </c>
      <c r="G25" s="69">
        <v>0.15</v>
      </c>
      <c r="H25" s="71" t="s">
        <v>844</v>
      </c>
      <c r="I25" s="69">
        <f>F25*0.85</f>
        <v>178.5</v>
      </c>
      <c r="J25" s="68">
        <f t="shared" si="5"/>
        <v>34.364145658263304</v>
      </c>
      <c r="K25" s="70">
        <v>0.5</v>
      </c>
      <c r="L25" s="70">
        <v>0.25</v>
      </c>
      <c r="M25" s="68">
        <f t="shared" si="1"/>
        <v>60.13725490196078</v>
      </c>
      <c r="N25" s="68">
        <f t="shared" si="2"/>
        <v>60</v>
      </c>
    </row>
    <row r="26" spans="1:15" ht="59.4" hidden="1" customHeight="1">
      <c r="A26" s="67"/>
      <c r="B26" s="67" t="s">
        <v>944</v>
      </c>
      <c r="C26" s="68">
        <v>2538.5</v>
      </c>
      <c r="D26" s="69">
        <v>5</v>
      </c>
      <c r="E26" s="69">
        <f>D26/F26</f>
        <v>0.1</v>
      </c>
      <c r="F26" s="69">
        <v>50</v>
      </c>
      <c r="G26" s="69">
        <v>0.15</v>
      </c>
      <c r="H26" s="71"/>
      <c r="I26" s="69">
        <f>F26*0.85</f>
        <v>42.5</v>
      </c>
      <c r="J26" s="68">
        <f t="shared" si="5"/>
        <v>59.72941176470588</v>
      </c>
      <c r="K26" s="70">
        <v>0.5</v>
      </c>
      <c r="L26" s="70">
        <v>0.2</v>
      </c>
      <c r="M26" s="68">
        <f t="shared" si="1"/>
        <v>101.53999999999999</v>
      </c>
      <c r="N26" s="68">
        <f t="shared" si="2"/>
        <v>100</v>
      </c>
    </row>
    <row r="27" spans="1:15" ht="33.6" hidden="1" customHeight="1">
      <c r="A27" s="67"/>
      <c r="B27" s="67" t="s">
        <v>955</v>
      </c>
      <c r="C27" s="68">
        <v>3611</v>
      </c>
      <c r="D27" s="69">
        <v>3</v>
      </c>
      <c r="E27" s="69">
        <v>0.15</v>
      </c>
      <c r="F27" s="69">
        <f>D27/E27</f>
        <v>20</v>
      </c>
      <c r="G27" s="69">
        <v>0.15</v>
      </c>
      <c r="H27" s="71" t="s">
        <v>844</v>
      </c>
      <c r="I27" s="69">
        <f>F27*0.7</f>
        <v>14</v>
      </c>
      <c r="J27" s="68">
        <f t="shared" si="5"/>
        <v>257.92857142857144</v>
      </c>
      <c r="K27" s="70">
        <v>0.5</v>
      </c>
      <c r="L27" s="70">
        <v>0.2</v>
      </c>
      <c r="M27" s="68">
        <f t="shared" si="1"/>
        <v>438.47857142857146</v>
      </c>
      <c r="N27" s="68">
        <f t="shared" si="2"/>
        <v>440</v>
      </c>
      <c r="O27" s="60">
        <f>ROUND(N27*1.1/10,0)*10</f>
        <v>480</v>
      </c>
    </row>
    <row r="28" spans="1:15" ht="31.2" hidden="1" customHeight="1">
      <c r="A28" s="67"/>
      <c r="B28" s="67" t="s">
        <v>1149</v>
      </c>
      <c r="C28" s="68">
        <v>3846</v>
      </c>
      <c r="D28" s="69">
        <v>0.5</v>
      </c>
      <c r="E28" s="69">
        <v>0.5</v>
      </c>
      <c r="F28" s="69">
        <v>1</v>
      </c>
      <c r="G28" s="69"/>
      <c r="H28" s="71">
        <v>1</v>
      </c>
      <c r="I28" s="69">
        <v>1</v>
      </c>
      <c r="J28" s="68">
        <f t="shared" si="5"/>
        <v>3846</v>
      </c>
      <c r="K28" s="70">
        <v>0.15</v>
      </c>
      <c r="L28" s="70">
        <v>0.25</v>
      </c>
      <c r="M28" s="68">
        <f t="shared" si="1"/>
        <v>5384.4</v>
      </c>
      <c r="N28" s="68">
        <v>5385</v>
      </c>
    </row>
    <row r="29" spans="1:15" ht="15" hidden="1" customHeight="1">
      <c r="A29" s="67"/>
      <c r="B29" s="67" t="s">
        <v>1046</v>
      </c>
      <c r="C29" s="68">
        <v>3300</v>
      </c>
      <c r="D29" s="69">
        <v>1</v>
      </c>
      <c r="E29" s="69">
        <v>1</v>
      </c>
      <c r="F29" s="69">
        <f>D29/E29</f>
        <v>1</v>
      </c>
      <c r="G29" s="69"/>
      <c r="H29" s="71"/>
      <c r="I29" s="69">
        <f>F29</f>
        <v>1</v>
      </c>
      <c r="J29" s="68">
        <f t="shared" si="5"/>
        <v>3300</v>
      </c>
      <c r="K29" s="70"/>
      <c r="L29" s="70">
        <v>0.2</v>
      </c>
      <c r="M29" s="68">
        <f t="shared" si="1"/>
        <v>3960</v>
      </c>
      <c r="N29" s="68">
        <f t="shared" ref="N29:N70" si="6">ROUND(M29/10,0)*10</f>
        <v>3960</v>
      </c>
    </row>
    <row r="30" spans="1:15" ht="15" hidden="1" customHeight="1">
      <c r="A30" s="67"/>
      <c r="B30" s="67" t="s">
        <v>1047</v>
      </c>
      <c r="C30" s="68">
        <v>4257</v>
      </c>
      <c r="D30" s="69">
        <v>1</v>
      </c>
      <c r="E30" s="69">
        <v>1</v>
      </c>
      <c r="F30" s="69">
        <f>D30/E30</f>
        <v>1</v>
      </c>
      <c r="G30" s="69"/>
      <c r="H30" s="71"/>
      <c r="I30" s="69">
        <f>F30</f>
        <v>1</v>
      </c>
      <c r="J30" s="68">
        <f t="shared" si="5"/>
        <v>4257</v>
      </c>
      <c r="K30" s="70"/>
      <c r="L30" s="70">
        <v>0.2</v>
      </c>
      <c r="M30" s="68">
        <f t="shared" si="1"/>
        <v>5108.3999999999996</v>
      </c>
      <c r="N30" s="68">
        <f t="shared" si="6"/>
        <v>5110</v>
      </c>
    </row>
    <row r="31" spans="1:15" ht="15" hidden="1" customHeight="1">
      <c r="A31" s="67"/>
      <c r="B31" s="67" t="s">
        <v>886</v>
      </c>
      <c r="C31" s="68">
        <v>1200</v>
      </c>
      <c r="D31" s="69">
        <f>9.5+8.5</f>
        <v>18</v>
      </c>
      <c r="E31" s="69">
        <v>0.1</v>
      </c>
      <c r="F31" s="69">
        <f>D31/E31</f>
        <v>180</v>
      </c>
      <c r="G31" s="69"/>
      <c r="H31" s="71"/>
      <c r="I31" s="69">
        <f>F31</f>
        <v>180</v>
      </c>
      <c r="J31" s="68">
        <f t="shared" si="5"/>
        <v>6.666666666666667</v>
      </c>
      <c r="K31" s="70">
        <v>0.3</v>
      </c>
      <c r="L31" s="70">
        <v>0.2</v>
      </c>
      <c r="M31" s="68">
        <f t="shared" si="1"/>
        <v>10.000000000000002</v>
      </c>
      <c r="N31" s="68">
        <f t="shared" si="6"/>
        <v>10</v>
      </c>
    </row>
    <row r="32" spans="1:15" ht="15" hidden="1" customHeight="1">
      <c r="A32" s="67"/>
      <c r="B32" s="67" t="s">
        <v>887</v>
      </c>
      <c r="C32" s="68">
        <v>3008</v>
      </c>
      <c r="D32" s="69">
        <f>9.5+8.5</f>
        <v>18</v>
      </c>
      <c r="E32" s="69">
        <v>0.1</v>
      </c>
      <c r="F32" s="69">
        <f>D32/E32</f>
        <v>180</v>
      </c>
      <c r="G32" s="69"/>
      <c r="H32" s="71"/>
      <c r="I32" s="69">
        <f>F32</f>
        <v>180</v>
      </c>
      <c r="J32" s="68">
        <f t="shared" si="5"/>
        <v>16.711111111111112</v>
      </c>
      <c r="K32" s="70">
        <v>0.3</v>
      </c>
      <c r="L32" s="70">
        <v>0.2</v>
      </c>
      <c r="M32" s="68">
        <f t="shared" si="1"/>
        <v>25.066666666666666</v>
      </c>
      <c r="N32" s="68">
        <f t="shared" si="6"/>
        <v>30</v>
      </c>
    </row>
    <row r="33" spans="1:18" ht="15" hidden="1" customHeight="1">
      <c r="A33" s="67"/>
      <c r="B33" s="67" t="s">
        <v>1048</v>
      </c>
      <c r="C33" s="68">
        <v>561</v>
      </c>
      <c r="D33" s="69">
        <v>1</v>
      </c>
      <c r="E33" s="69">
        <v>1</v>
      </c>
      <c r="F33" s="69">
        <f>D33/E33</f>
        <v>1</v>
      </c>
      <c r="G33" s="69"/>
      <c r="H33" s="71"/>
      <c r="I33" s="69">
        <f>F33</f>
        <v>1</v>
      </c>
      <c r="J33" s="68">
        <f t="shared" si="5"/>
        <v>561</v>
      </c>
      <c r="K33" s="70"/>
      <c r="L33" s="70">
        <v>0.2</v>
      </c>
      <c r="M33" s="68">
        <f t="shared" si="1"/>
        <v>673.2</v>
      </c>
      <c r="N33" s="68">
        <f t="shared" si="6"/>
        <v>670</v>
      </c>
    </row>
    <row r="34" spans="1:18" ht="15" hidden="1" customHeight="1">
      <c r="A34" s="67"/>
      <c r="B34" s="67" t="s">
        <v>917</v>
      </c>
      <c r="C34" s="68">
        <v>1250</v>
      </c>
      <c r="D34" s="69">
        <v>50</v>
      </c>
      <c r="E34" s="69">
        <v>1</v>
      </c>
      <c r="F34" s="69">
        <v>1</v>
      </c>
      <c r="G34" s="69"/>
      <c r="H34" s="71"/>
      <c r="I34" s="69">
        <v>25</v>
      </c>
      <c r="J34" s="68">
        <f t="shared" si="5"/>
        <v>50</v>
      </c>
      <c r="K34" s="70"/>
      <c r="L34" s="70"/>
      <c r="M34" s="68">
        <f t="shared" si="1"/>
        <v>50</v>
      </c>
      <c r="N34" s="68">
        <f t="shared" si="6"/>
        <v>50</v>
      </c>
    </row>
    <row r="35" spans="1:18" ht="15" hidden="1" customHeight="1">
      <c r="A35" s="67"/>
      <c r="B35" s="67" t="s">
        <v>1017</v>
      </c>
      <c r="C35" s="68">
        <v>2590.5</v>
      </c>
      <c r="D35" s="69">
        <v>100</v>
      </c>
      <c r="E35" s="69">
        <v>1</v>
      </c>
      <c r="F35" s="69">
        <f t="shared" ref="F35:F46" si="7">D35/E35</f>
        <v>100</v>
      </c>
      <c r="G35" s="69"/>
      <c r="H35" s="71"/>
      <c r="I35" s="69">
        <f t="shared" ref="I35:I41" si="8">F35</f>
        <v>100</v>
      </c>
      <c r="J35" s="68">
        <f t="shared" si="5"/>
        <v>25.905000000000001</v>
      </c>
      <c r="K35" s="70">
        <v>0.5</v>
      </c>
      <c r="L35" s="70">
        <v>0.2</v>
      </c>
      <c r="M35" s="68">
        <f t="shared" si="1"/>
        <v>44.038499999999999</v>
      </c>
      <c r="N35" s="68">
        <f t="shared" si="6"/>
        <v>40</v>
      </c>
    </row>
    <row r="36" spans="1:18" ht="15" hidden="1" customHeight="1">
      <c r="A36" s="67"/>
      <c r="B36" s="67" t="s">
        <v>909</v>
      </c>
      <c r="C36" s="68">
        <v>2590.5</v>
      </c>
      <c r="D36" s="69">
        <v>100</v>
      </c>
      <c r="E36" s="69">
        <v>1</v>
      </c>
      <c r="F36" s="69">
        <f t="shared" si="7"/>
        <v>100</v>
      </c>
      <c r="G36" s="69"/>
      <c r="H36" s="71"/>
      <c r="I36" s="69">
        <f t="shared" si="8"/>
        <v>100</v>
      </c>
      <c r="J36" s="68">
        <f t="shared" si="5"/>
        <v>25.905000000000001</v>
      </c>
      <c r="K36" s="70">
        <v>0.5</v>
      </c>
      <c r="L36" s="70">
        <v>0.2</v>
      </c>
      <c r="M36" s="68">
        <f t="shared" si="1"/>
        <v>44.038499999999999</v>
      </c>
      <c r="N36" s="68">
        <f t="shared" si="6"/>
        <v>40</v>
      </c>
    </row>
    <row r="37" spans="1:18" ht="21" hidden="1" customHeight="1">
      <c r="A37" s="67"/>
      <c r="B37" s="67" t="s">
        <v>1262</v>
      </c>
      <c r="C37" s="68">
        <v>2460</v>
      </c>
      <c r="D37" s="69">
        <v>50</v>
      </c>
      <c r="E37" s="69">
        <v>1</v>
      </c>
      <c r="F37" s="69">
        <f t="shared" si="7"/>
        <v>50</v>
      </c>
      <c r="G37" s="69"/>
      <c r="H37" s="71"/>
      <c r="I37" s="69">
        <f t="shared" si="8"/>
        <v>50</v>
      </c>
      <c r="J37" s="68">
        <f t="shared" si="5"/>
        <v>49.2</v>
      </c>
      <c r="K37" s="70">
        <v>0.7</v>
      </c>
      <c r="L37" s="70">
        <v>0.25</v>
      </c>
      <c r="M37" s="68">
        <f t="shared" si="1"/>
        <v>95.94</v>
      </c>
      <c r="N37" s="68">
        <f t="shared" si="6"/>
        <v>100</v>
      </c>
    </row>
    <row r="38" spans="1:18" ht="66.599999999999994" hidden="1" customHeight="1">
      <c r="A38" s="67"/>
      <c r="B38" s="67" t="s">
        <v>1152</v>
      </c>
      <c r="C38" s="68">
        <v>8800</v>
      </c>
      <c r="D38" s="69">
        <v>100</v>
      </c>
      <c r="E38" s="69">
        <v>1</v>
      </c>
      <c r="F38" s="69">
        <f t="shared" si="7"/>
        <v>100</v>
      </c>
      <c r="G38" s="69"/>
      <c r="H38" s="71"/>
      <c r="I38" s="69">
        <f t="shared" si="8"/>
        <v>100</v>
      </c>
      <c r="J38" s="68">
        <f t="shared" si="5"/>
        <v>88</v>
      </c>
      <c r="K38" s="70">
        <v>0.7</v>
      </c>
      <c r="L38" s="70">
        <v>0.25</v>
      </c>
      <c r="M38" s="68">
        <f t="shared" si="1"/>
        <v>171.6</v>
      </c>
      <c r="N38" s="68">
        <f t="shared" si="6"/>
        <v>170</v>
      </c>
    </row>
    <row r="39" spans="1:18" ht="66.599999999999994" hidden="1" customHeight="1">
      <c r="A39" s="67"/>
      <c r="B39" s="67" t="s">
        <v>1152</v>
      </c>
      <c r="C39" s="68">
        <v>8900</v>
      </c>
      <c r="D39" s="69">
        <v>100</v>
      </c>
      <c r="E39" s="69">
        <v>1</v>
      </c>
      <c r="F39" s="69">
        <f t="shared" si="7"/>
        <v>100</v>
      </c>
      <c r="G39" s="69"/>
      <c r="H39" s="71"/>
      <c r="I39" s="69">
        <f t="shared" si="8"/>
        <v>100</v>
      </c>
      <c r="J39" s="68">
        <f t="shared" si="5"/>
        <v>89</v>
      </c>
      <c r="K39" s="70">
        <v>0.7</v>
      </c>
      <c r="L39" s="70">
        <v>0.25</v>
      </c>
      <c r="M39" s="68">
        <f t="shared" si="1"/>
        <v>173.55</v>
      </c>
      <c r="N39" s="68">
        <f t="shared" si="6"/>
        <v>170</v>
      </c>
      <c r="R39" s="60" t="s">
        <v>1289</v>
      </c>
    </row>
    <row r="40" spans="1:18" s="322" customFormat="1" ht="76.2" hidden="1" customHeight="1">
      <c r="A40" s="318"/>
      <c r="B40" s="318" t="s">
        <v>1342</v>
      </c>
      <c r="C40" s="250">
        <v>13249</v>
      </c>
      <c r="D40" s="319">
        <v>100</v>
      </c>
      <c r="E40" s="319">
        <v>1</v>
      </c>
      <c r="F40" s="319">
        <f t="shared" ref="F40" si="9">D40/E40</f>
        <v>100</v>
      </c>
      <c r="G40" s="319"/>
      <c r="H40" s="320"/>
      <c r="I40" s="319">
        <f t="shared" ref="I40" si="10">F40</f>
        <v>100</v>
      </c>
      <c r="J40" s="250">
        <f t="shared" ref="J40" si="11">C40/I40</f>
        <v>132.49</v>
      </c>
      <c r="K40" s="321">
        <v>0.7</v>
      </c>
      <c r="L40" s="321">
        <v>0.25</v>
      </c>
      <c r="M40" s="250">
        <f t="shared" ref="M40" si="12">J40+J40*K40+J40*L40</f>
        <v>258.35550000000001</v>
      </c>
      <c r="N40" s="250">
        <f t="shared" ref="N40" si="13">ROUND(M40/10,0)*10</f>
        <v>260</v>
      </c>
    </row>
    <row r="41" spans="1:18" s="257" customFormat="1" ht="33.6" hidden="1" customHeight="1">
      <c r="A41" s="252"/>
      <c r="B41" s="252" t="s">
        <v>1018</v>
      </c>
      <c r="C41" s="253">
        <v>2256</v>
      </c>
      <c r="D41" s="254">
        <v>50</v>
      </c>
      <c r="E41" s="254">
        <v>1</v>
      </c>
      <c r="F41" s="254">
        <f t="shared" si="7"/>
        <v>50</v>
      </c>
      <c r="G41" s="254"/>
      <c r="H41" s="255"/>
      <c r="I41" s="254">
        <f t="shared" si="8"/>
        <v>50</v>
      </c>
      <c r="J41" s="253">
        <f t="shared" si="5"/>
        <v>45.12</v>
      </c>
      <c r="K41" s="256">
        <v>0.5</v>
      </c>
      <c r="L41" s="256">
        <v>0.2</v>
      </c>
      <c r="M41" s="253">
        <f t="shared" si="1"/>
        <v>76.703999999999994</v>
      </c>
      <c r="N41" s="253">
        <f t="shared" si="6"/>
        <v>80</v>
      </c>
    </row>
    <row r="42" spans="1:18" s="257" customFormat="1" ht="15" hidden="1" customHeight="1">
      <c r="A42" s="252"/>
      <c r="B42" s="252" t="s">
        <v>908</v>
      </c>
      <c r="C42" s="253">
        <v>2615</v>
      </c>
      <c r="D42" s="254">
        <v>10</v>
      </c>
      <c r="E42" s="254">
        <v>0.1</v>
      </c>
      <c r="F42" s="254">
        <f t="shared" si="7"/>
        <v>100</v>
      </c>
      <c r="G42" s="254">
        <v>0.15</v>
      </c>
      <c r="H42" s="255"/>
      <c r="I42" s="254">
        <f>F42*0.85</f>
        <v>85</v>
      </c>
      <c r="J42" s="253">
        <f t="shared" si="5"/>
        <v>30.764705882352942</v>
      </c>
      <c r="K42" s="256">
        <v>0.3</v>
      </c>
      <c r="L42" s="256">
        <v>0.2</v>
      </c>
      <c r="M42" s="253">
        <f t="shared" si="1"/>
        <v>46.147058823529413</v>
      </c>
      <c r="N42" s="253">
        <f t="shared" si="6"/>
        <v>50</v>
      </c>
    </row>
    <row r="43" spans="1:18" s="257" customFormat="1" ht="24" hidden="1" customHeight="1">
      <c r="A43" s="252"/>
      <c r="B43" s="252" t="s">
        <v>1050</v>
      </c>
      <c r="C43" s="253">
        <v>6740</v>
      </c>
      <c r="D43" s="254">
        <v>4</v>
      </c>
      <c r="E43" s="254">
        <v>1</v>
      </c>
      <c r="F43" s="254">
        <f t="shared" si="7"/>
        <v>4</v>
      </c>
      <c r="G43" s="254"/>
      <c r="H43" s="255"/>
      <c r="I43" s="254">
        <f>F43</f>
        <v>4</v>
      </c>
      <c r="J43" s="253">
        <f t="shared" si="5"/>
        <v>1685</v>
      </c>
      <c r="K43" s="256"/>
      <c r="L43" s="256">
        <v>0.2</v>
      </c>
      <c r="M43" s="253">
        <f t="shared" si="1"/>
        <v>2022</v>
      </c>
      <c r="N43" s="253">
        <f t="shared" si="6"/>
        <v>2020</v>
      </c>
    </row>
    <row r="44" spans="1:18" s="257" customFormat="1" ht="13.8" hidden="1" customHeight="1">
      <c r="A44" s="252"/>
      <c r="B44" s="252" t="s">
        <v>946</v>
      </c>
      <c r="C44" s="253">
        <v>2333</v>
      </c>
      <c r="D44" s="254">
        <v>8</v>
      </c>
      <c r="E44" s="254">
        <v>0.1</v>
      </c>
      <c r="F44" s="254">
        <f t="shared" si="7"/>
        <v>80</v>
      </c>
      <c r="G44" s="254"/>
      <c r="H44" s="255"/>
      <c r="I44" s="254">
        <f>F44</f>
        <v>80</v>
      </c>
      <c r="J44" s="253">
        <f t="shared" si="5"/>
        <v>29.162500000000001</v>
      </c>
      <c r="K44" s="256"/>
      <c r="L44" s="256">
        <v>0.2</v>
      </c>
      <c r="M44" s="253">
        <f t="shared" si="1"/>
        <v>34.995000000000005</v>
      </c>
      <c r="N44" s="253">
        <f t="shared" si="6"/>
        <v>30</v>
      </c>
    </row>
    <row r="45" spans="1:18" s="257" customFormat="1" ht="13.8" hidden="1" customHeight="1">
      <c r="A45" s="323"/>
      <c r="B45" s="252" t="s">
        <v>1087</v>
      </c>
      <c r="C45" s="253">
        <v>3213</v>
      </c>
      <c r="D45" s="254">
        <v>1</v>
      </c>
      <c r="E45" s="254">
        <v>1</v>
      </c>
      <c r="F45" s="254">
        <f t="shared" si="7"/>
        <v>1</v>
      </c>
      <c r="G45" s="254"/>
      <c r="H45" s="254">
        <v>1</v>
      </c>
      <c r="I45" s="254">
        <f>F45</f>
        <v>1</v>
      </c>
      <c r="J45" s="253">
        <f t="shared" si="5"/>
        <v>3213</v>
      </c>
      <c r="K45" s="256"/>
      <c r="L45" s="256">
        <v>0.25</v>
      </c>
      <c r="M45" s="253">
        <f t="shared" si="1"/>
        <v>4016.25</v>
      </c>
      <c r="N45" s="253">
        <f t="shared" si="6"/>
        <v>4020</v>
      </c>
    </row>
    <row r="46" spans="1:18" s="257" customFormat="1" ht="15" hidden="1" customHeight="1">
      <c r="A46" s="252"/>
      <c r="B46" s="252" t="s">
        <v>885</v>
      </c>
      <c r="C46" s="253">
        <v>5263</v>
      </c>
      <c r="D46" s="254">
        <v>5</v>
      </c>
      <c r="E46" s="254">
        <v>0.15</v>
      </c>
      <c r="F46" s="254">
        <f t="shared" si="7"/>
        <v>33.333333333333336</v>
      </c>
      <c r="G46" s="254"/>
      <c r="H46" s="255"/>
      <c r="I46" s="254">
        <f>F46</f>
        <v>33.333333333333336</v>
      </c>
      <c r="J46" s="253">
        <f t="shared" si="5"/>
        <v>157.88999999999999</v>
      </c>
      <c r="K46" s="256">
        <v>0.3</v>
      </c>
      <c r="L46" s="256">
        <v>0.2</v>
      </c>
      <c r="M46" s="253">
        <f t="shared" si="1"/>
        <v>236.83499999999998</v>
      </c>
      <c r="N46" s="253">
        <f t="shared" si="6"/>
        <v>240</v>
      </c>
    </row>
    <row r="47" spans="1:18" s="257" customFormat="1" ht="15" hidden="1" customHeight="1">
      <c r="A47" s="252"/>
      <c r="B47" s="252" t="s">
        <v>1019</v>
      </c>
      <c r="C47" s="253">
        <v>3000</v>
      </c>
      <c r="D47" s="254"/>
      <c r="E47" s="254">
        <v>5</v>
      </c>
      <c r="F47" s="254">
        <v>5</v>
      </c>
      <c r="G47" s="254"/>
      <c r="H47" s="255">
        <v>3</v>
      </c>
      <c r="I47" s="254">
        <v>25</v>
      </c>
      <c r="J47" s="253">
        <f t="shared" ref="J47:J55" si="14">C47/I47*H47</f>
        <v>360</v>
      </c>
      <c r="K47" s="256">
        <v>0.3</v>
      </c>
      <c r="L47" s="256">
        <v>0.2</v>
      </c>
      <c r="M47" s="253">
        <f t="shared" ref="M47:M55" si="15">J47*1.3+J47*L47</f>
        <v>540</v>
      </c>
      <c r="N47" s="253">
        <f t="shared" si="6"/>
        <v>540</v>
      </c>
    </row>
    <row r="48" spans="1:18" s="257" customFormat="1" ht="21" hidden="1" customHeight="1">
      <c r="A48" s="252"/>
      <c r="B48" s="252" t="s">
        <v>1020</v>
      </c>
      <c r="C48" s="253">
        <v>3380.5</v>
      </c>
      <c r="D48" s="254"/>
      <c r="E48" s="254">
        <v>5</v>
      </c>
      <c r="F48" s="254">
        <v>5</v>
      </c>
      <c r="G48" s="254"/>
      <c r="H48" s="255">
        <v>3</v>
      </c>
      <c r="I48" s="254">
        <v>25</v>
      </c>
      <c r="J48" s="253">
        <f t="shared" si="14"/>
        <v>405.65999999999997</v>
      </c>
      <c r="K48" s="256">
        <v>0.3</v>
      </c>
      <c r="L48" s="256">
        <v>0.2</v>
      </c>
      <c r="M48" s="253">
        <f t="shared" si="15"/>
        <v>608.49</v>
      </c>
      <c r="N48" s="253">
        <f t="shared" si="6"/>
        <v>610</v>
      </c>
    </row>
    <row r="49" spans="1:19" s="257" customFormat="1" ht="21" hidden="1" customHeight="1">
      <c r="A49" s="252"/>
      <c r="B49" s="252" t="s">
        <v>1021</v>
      </c>
      <c r="C49" s="253">
        <v>3992</v>
      </c>
      <c r="D49" s="254"/>
      <c r="E49" s="254">
        <v>5</v>
      </c>
      <c r="F49" s="254">
        <v>5</v>
      </c>
      <c r="G49" s="254"/>
      <c r="H49" s="255">
        <v>3</v>
      </c>
      <c r="I49" s="254">
        <v>25</v>
      </c>
      <c r="J49" s="253">
        <f t="shared" si="14"/>
        <v>479.04</v>
      </c>
      <c r="K49" s="256">
        <v>0.3</v>
      </c>
      <c r="L49" s="256">
        <v>0.2</v>
      </c>
      <c r="M49" s="253">
        <f t="shared" si="15"/>
        <v>718.56000000000006</v>
      </c>
      <c r="N49" s="253">
        <f t="shared" si="6"/>
        <v>720</v>
      </c>
    </row>
    <row r="50" spans="1:19" s="257" customFormat="1" ht="42.6" hidden="1" customHeight="1">
      <c r="A50" s="252"/>
      <c r="B50" s="252" t="s">
        <v>1300</v>
      </c>
      <c r="C50" s="253">
        <v>5226</v>
      </c>
      <c r="D50" s="254">
        <v>200</v>
      </c>
      <c r="E50" s="254">
        <v>8</v>
      </c>
      <c r="F50" s="254">
        <f>D50/E50</f>
        <v>25</v>
      </c>
      <c r="G50" s="254"/>
      <c r="H50" s="255">
        <v>3</v>
      </c>
      <c r="I50" s="260">
        <f>F50/H50</f>
        <v>8.3333333333333339</v>
      </c>
      <c r="J50" s="253">
        <f t="shared" ref="J50" si="16">C50/I50</f>
        <v>627.12</v>
      </c>
      <c r="K50" s="256">
        <v>0.3</v>
      </c>
      <c r="L50" s="256">
        <v>0.25</v>
      </c>
      <c r="M50" s="253">
        <f t="shared" ref="M50" si="17">J50+J50*K50+J50*L50</f>
        <v>972.03599999999994</v>
      </c>
      <c r="N50" s="253">
        <f t="shared" si="6"/>
        <v>970</v>
      </c>
      <c r="R50" s="257">
        <v>150</v>
      </c>
      <c r="S50" s="272">
        <f>N50+R50</f>
        <v>1120</v>
      </c>
    </row>
    <row r="51" spans="1:19" s="257" customFormat="1" ht="40.799999999999997" hidden="1" customHeight="1">
      <c r="A51" s="252"/>
      <c r="B51" s="252" t="s">
        <v>1307</v>
      </c>
      <c r="C51" s="253">
        <v>5313</v>
      </c>
      <c r="D51" s="254">
        <v>200</v>
      </c>
      <c r="E51" s="254">
        <v>8</v>
      </c>
      <c r="F51" s="254">
        <f>D51/E51</f>
        <v>25</v>
      </c>
      <c r="G51" s="254"/>
      <c r="H51" s="255">
        <v>3</v>
      </c>
      <c r="I51" s="260">
        <f>F51/H51</f>
        <v>8.3333333333333339</v>
      </c>
      <c r="J51" s="253">
        <f t="shared" ref="J51" si="18">C51/I51</f>
        <v>637.55999999999995</v>
      </c>
      <c r="K51" s="256">
        <v>0.3</v>
      </c>
      <c r="L51" s="256">
        <v>0.25</v>
      </c>
      <c r="M51" s="253">
        <f t="shared" ref="M51" si="19">J51+J51*K51+J51*L51</f>
        <v>988.21799999999996</v>
      </c>
      <c r="N51" s="253">
        <f t="shared" si="6"/>
        <v>990</v>
      </c>
      <c r="R51" s="257">
        <v>150</v>
      </c>
      <c r="S51" s="272">
        <f>N51+R51</f>
        <v>1140</v>
      </c>
    </row>
    <row r="52" spans="1:19" s="257" customFormat="1" ht="28.8" hidden="1" customHeight="1">
      <c r="A52" s="252"/>
      <c r="B52" s="252" t="s">
        <v>1335</v>
      </c>
      <c r="C52" s="253">
        <v>790</v>
      </c>
      <c r="D52" s="254">
        <v>50</v>
      </c>
      <c r="E52" s="254">
        <v>5</v>
      </c>
      <c r="F52" s="254">
        <f>D52/E52</f>
        <v>10</v>
      </c>
      <c r="G52" s="254"/>
      <c r="H52" s="255">
        <v>1</v>
      </c>
      <c r="I52" s="254">
        <f>F52</f>
        <v>10</v>
      </c>
      <c r="J52" s="253">
        <f t="shared" ref="J52" si="20">C52/I52</f>
        <v>79</v>
      </c>
      <c r="K52" s="256">
        <v>0.3</v>
      </c>
      <c r="L52" s="256">
        <v>0.25</v>
      </c>
      <c r="M52" s="253">
        <f t="shared" ref="M52" si="21">J52+J52*K52+J52*L52</f>
        <v>122.45</v>
      </c>
      <c r="N52" s="253">
        <f t="shared" si="6"/>
        <v>120</v>
      </c>
    </row>
    <row r="53" spans="1:19" s="257" customFormat="1" ht="33.6" hidden="1" customHeight="1">
      <c r="A53" s="252"/>
      <c r="B53" s="252" t="s">
        <v>1334</v>
      </c>
      <c r="C53" s="253">
        <v>790</v>
      </c>
      <c r="D53" s="254">
        <v>50</v>
      </c>
      <c r="E53" s="254">
        <v>5</v>
      </c>
      <c r="F53" s="254">
        <f>D53/E53</f>
        <v>10</v>
      </c>
      <c r="G53" s="254"/>
      <c r="H53" s="255">
        <v>1</v>
      </c>
      <c r="I53" s="254">
        <f>F53</f>
        <v>10</v>
      </c>
      <c r="J53" s="253">
        <f t="shared" ref="J53" si="22">C53/I53</f>
        <v>79</v>
      </c>
      <c r="K53" s="256">
        <v>0.3</v>
      </c>
      <c r="L53" s="256">
        <v>0.25</v>
      </c>
      <c r="M53" s="253">
        <f t="shared" ref="M53" si="23">J53+J53*K53+J53*L53</f>
        <v>122.45</v>
      </c>
      <c r="N53" s="253">
        <f t="shared" si="6"/>
        <v>120</v>
      </c>
    </row>
    <row r="54" spans="1:19" s="257" customFormat="1" ht="21" hidden="1" customHeight="1">
      <c r="A54" s="252"/>
      <c r="B54" s="252" t="s">
        <v>1022</v>
      </c>
      <c r="C54" s="253">
        <v>4497</v>
      </c>
      <c r="D54" s="254"/>
      <c r="E54" s="254">
        <v>5</v>
      </c>
      <c r="F54" s="254">
        <v>5</v>
      </c>
      <c r="G54" s="254"/>
      <c r="H54" s="255">
        <v>3</v>
      </c>
      <c r="I54" s="254">
        <v>25</v>
      </c>
      <c r="J54" s="253">
        <f t="shared" si="14"/>
        <v>539.64</v>
      </c>
      <c r="K54" s="256">
        <v>0.3</v>
      </c>
      <c r="L54" s="256">
        <v>0.2</v>
      </c>
      <c r="M54" s="253">
        <f t="shared" si="15"/>
        <v>809.46</v>
      </c>
      <c r="N54" s="253">
        <f t="shared" si="6"/>
        <v>810</v>
      </c>
    </row>
    <row r="55" spans="1:19" s="257" customFormat="1" ht="21" hidden="1" customHeight="1">
      <c r="A55" s="252"/>
      <c r="B55" s="252" t="s">
        <v>1023</v>
      </c>
      <c r="C55" s="253">
        <f>16260/4</f>
        <v>4065</v>
      </c>
      <c r="D55" s="254"/>
      <c r="E55" s="254">
        <v>5</v>
      </c>
      <c r="F55" s="254">
        <v>5</v>
      </c>
      <c r="G55" s="254"/>
      <c r="H55" s="255">
        <v>3</v>
      </c>
      <c r="I55" s="254">
        <v>25</v>
      </c>
      <c r="J55" s="253">
        <f t="shared" si="14"/>
        <v>487.79999999999995</v>
      </c>
      <c r="K55" s="256">
        <v>0.3</v>
      </c>
      <c r="L55" s="256">
        <v>0.2</v>
      </c>
      <c r="M55" s="253">
        <f t="shared" si="15"/>
        <v>731.7</v>
      </c>
      <c r="N55" s="253">
        <f t="shared" si="6"/>
        <v>730</v>
      </c>
    </row>
    <row r="56" spans="1:19" s="257" customFormat="1" ht="91.8" hidden="1" customHeight="1">
      <c r="A56" s="252"/>
      <c r="B56" s="252" t="s">
        <v>1299</v>
      </c>
      <c r="C56" s="253">
        <v>1868</v>
      </c>
      <c r="D56" s="254">
        <v>100</v>
      </c>
      <c r="E56" s="254">
        <v>5</v>
      </c>
      <c r="F56" s="254">
        <f t="shared" ref="F56:F57" si="24">D56/E56</f>
        <v>20</v>
      </c>
      <c r="G56" s="254">
        <v>0.15</v>
      </c>
      <c r="H56" s="255">
        <v>1</v>
      </c>
      <c r="I56" s="254">
        <f>F56*0.85</f>
        <v>17</v>
      </c>
      <c r="J56" s="253">
        <f t="shared" ref="J56:J57" si="25">C56/I56</f>
        <v>109.88235294117646</v>
      </c>
      <c r="K56" s="256">
        <v>0.3</v>
      </c>
      <c r="L56" s="256">
        <v>0.25</v>
      </c>
      <c r="M56" s="253">
        <f t="shared" ref="M56:M57" si="26">J56+J56*K56+J56*L56</f>
        <v>170.31764705882352</v>
      </c>
      <c r="N56" s="253">
        <f t="shared" si="6"/>
        <v>170</v>
      </c>
    </row>
    <row r="57" spans="1:19" s="257" customFormat="1" ht="91.8" hidden="1" customHeight="1">
      <c r="A57" s="252"/>
      <c r="B57" s="252" t="s">
        <v>1298</v>
      </c>
      <c r="C57" s="253">
        <v>1868</v>
      </c>
      <c r="D57" s="254">
        <v>100</v>
      </c>
      <c r="E57" s="254">
        <v>5</v>
      </c>
      <c r="F57" s="254">
        <f t="shared" si="24"/>
        <v>20</v>
      </c>
      <c r="G57" s="254">
        <v>0.15</v>
      </c>
      <c r="H57" s="255"/>
      <c r="I57" s="254">
        <f>F57*0.85</f>
        <v>17</v>
      </c>
      <c r="J57" s="253">
        <f t="shared" si="25"/>
        <v>109.88235294117646</v>
      </c>
      <c r="K57" s="256">
        <v>0.3</v>
      </c>
      <c r="L57" s="256">
        <v>0.25</v>
      </c>
      <c r="M57" s="253">
        <f t="shared" si="26"/>
        <v>170.31764705882352</v>
      </c>
      <c r="N57" s="253">
        <f t="shared" si="6"/>
        <v>170</v>
      </c>
    </row>
    <row r="58" spans="1:19" s="257" customFormat="1" ht="15" hidden="1" customHeight="1">
      <c r="A58" s="252"/>
      <c r="B58" s="252" t="s">
        <v>896</v>
      </c>
      <c r="C58" s="253">
        <v>2530</v>
      </c>
      <c r="D58" s="254">
        <v>2</v>
      </c>
      <c r="E58" s="254">
        <v>0.1</v>
      </c>
      <c r="F58" s="254">
        <f>D58/E58</f>
        <v>20</v>
      </c>
      <c r="G58" s="254"/>
      <c r="H58" s="255"/>
      <c r="I58" s="254">
        <f>F58</f>
        <v>20</v>
      </c>
      <c r="J58" s="253">
        <f t="shared" ref="J58:J85" si="27">C58/I58</f>
        <v>126.5</v>
      </c>
      <c r="K58" s="256">
        <v>0.3</v>
      </c>
      <c r="L58" s="256">
        <v>0.2</v>
      </c>
      <c r="M58" s="253">
        <f t="shared" ref="M58:M91" si="28">J58+J58*K58+J58*L58</f>
        <v>189.75</v>
      </c>
      <c r="N58" s="253">
        <f t="shared" si="6"/>
        <v>190</v>
      </c>
    </row>
    <row r="59" spans="1:19" s="257" customFormat="1" ht="22.2" hidden="1" customHeight="1">
      <c r="A59" s="252"/>
      <c r="B59" s="252" t="s">
        <v>948</v>
      </c>
      <c r="C59" s="253">
        <v>3430</v>
      </c>
      <c r="D59" s="254">
        <f>9+8-8</f>
        <v>9</v>
      </c>
      <c r="E59" s="254">
        <v>0.15</v>
      </c>
      <c r="F59" s="254">
        <f>D59/E59</f>
        <v>60</v>
      </c>
      <c r="G59" s="254">
        <v>0.15</v>
      </c>
      <c r="H59" s="255"/>
      <c r="I59" s="254">
        <f>F59*0.85</f>
        <v>51</v>
      </c>
      <c r="J59" s="253">
        <f t="shared" si="27"/>
        <v>67.254901960784309</v>
      </c>
      <c r="K59" s="256">
        <v>0.4</v>
      </c>
      <c r="L59" s="256">
        <v>0.2</v>
      </c>
      <c r="M59" s="253">
        <f t="shared" si="28"/>
        <v>107.6078431372549</v>
      </c>
      <c r="N59" s="253">
        <f t="shared" si="6"/>
        <v>110</v>
      </c>
    </row>
    <row r="60" spans="1:19" s="257" customFormat="1" ht="59.4" hidden="1" customHeight="1">
      <c r="A60" s="252"/>
      <c r="B60" s="252" t="s">
        <v>1136</v>
      </c>
      <c r="C60" s="253">
        <v>3544</v>
      </c>
      <c r="D60" s="254">
        <f>5+2.5+2.5+5-5</f>
        <v>10</v>
      </c>
      <c r="E60" s="254">
        <v>0.15</v>
      </c>
      <c r="F60" s="254">
        <f>D60/E60</f>
        <v>66.666666666666671</v>
      </c>
      <c r="G60" s="254">
        <v>0.15</v>
      </c>
      <c r="H60" s="255"/>
      <c r="I60" s="254">
        <f>F60*0.85</f>
        <v>56.666666666666671</v>
      </c>
      <c r="J60" s="253">
        <f t="shared" si="27"/>
        <v>62.541176470588233</v>
      </c>
      <c r="K60" s="256">
        <v>0.5</v>
      </c>
      <c r="L60" s="256">
        <v>0.2</v>
      </c>
      <c r="M60" s="253">
        <f t="shared" si="28"/>
        <v>106.32</v>
      </c>
      <c r="N60" s="253">
        <f t="shared" si="6"/>
        <v>110</v>
      </c>
    </row>
    <row r="61" spans="1:19" s="257" customFormat="1" ht="62.4" hidden="1" customHeight="1">
      <c r="A61" s="252"/>
      <c r="B61" s="252" t="s">
        <v>1135</v>
      </c>
      <c r="C61" s="253">
        <v>3544</v>
      </c>
      <c r="D61" s="254">
        <f>5+2.5+2.5+5-5</f>
        <v>10</v>
      </c>
      <c r="E61" s="254">
        <v>0.15</v>
      </c>
      <c r="F61" s="254">
        <f>D61/E61</f>
        <v>66.666666666666671</v>
      </c>
      <c r="G61" s="254">
        <v>0.15</v>
      </c>
      <c r="H61" s="255"/>
      <c r="I61" s="254">
        <f>F61*0.85</f>
        <v>56.666666666666671</v>
      </c>
      <c r="J61" s="253">
        <f t="shared" si="27"/>
        <v>62.541176470588233</v>
      </c>
      <c r="K61" s="256">
        <v>0.5</v>
      </c>
      <c r="L61" s="256">
        <v>0.2</v>
      </c>
      <c r="M61" s="253">
        <f t="shared" si="28"/>
        <v>106.32</v>
      </c>
      <c r="N61" s="253">
        <f t="shared" si="6"/>
        <v>110</v>
      </c>
    </row>
    <row r="62" spans="1:19" s="257" customFormat="1" ht="27.6" hidden="1" customHeight="1">
      <c r="A62" s="252"/>
      <c r="B62" s="252" t="s">
        <v>845</v>
      </c>
      <c r="C62" s="253">
        <v>1750</v>
      </c>
      <c r="D62" s="254">
        <f>4*1.2</f>
        <v>4.8</v>
      </c>
      <c r="E62" s="254">
        <f>D62/F62</f>
        <v>8.5714285714285715E-2</v>
      </c>
      <c r="F62" s="254">
        <v>56</v>
      </c>
      <c r="G62" s="254">
        <v>0.15</v>
      </c>
      <c r="H62" s="255"/>
      <c r="I62" s="254">
        <f>F62*0.85</f>
        <v>47.6</v>
      </c>
      <c r="J62" s="253">
        <f t="shared" si="27"/>
        <v>36.764705882352942</v>
      </c>
      <c r="K62" s="256">
        <v>0.5</v>
      </c>
      <c r="L62" s="256">
        <v>0.2</v>
      </c>
      <c r="M62" s="253">
        <f t="shared" si="28"/>
        <v>62.5</v>
      </c>
      <c r="N62" s="253">
        <f t="shared" si="6"/>
        <v>60</v>
      </c>
    </row>
    <row r="63" spans="1:19" s="257" customFormat="1" ht="15" hidden="1" customHeight="1">
      <c r="A63" s="252"/>
      <c r="B63" s="252" t="s">
        <v>880</v>
      </c>
      <c r="C63" s="253">
        <v>9510.7999999999993</v>
      </c>
      <c r="D63" s="254">
        <f>16*5</f>
        <v>80</v>
      </c>
      <c r="E63" s="254">
        <v>0.15</v>
      </c>
      <c r="F63" s="254">
        <f>D63/E63</f>
        <v>533.33333333333337</v>
      </c>
      <c r="G63" s="254">
        <v>0.15</v>
      </c>
      <c r="H63" s="255">
        <v>3</v>
      </c>
      <c r="I63" s="254">
        <f>F63*0.85/3</f>
        <v>151.11111111111111</v>
      </c>
      <c r="J63" s="253">
        <f t="shared" si="27"/>
        <v>62.939117647058815</v>
      </c>
      <c r="K63" s="256">
        <v>0.5</v>
      </c>
      <c r="L63" s="256">
        <v>0.2</v>
      </c>
      <c r="M63" s="253">
        <f t="shared" si="28"/>
        <v>106.99649999999998</v>
      </c>
      <c r="N63" s="253">
        <f t="shared" si="6"/>
        <v>110</v>
      </c>
    </row>
    <row r="64" spans="1:19" s="257" customFormat="1" ht="36.6" hidden="1" customHeight="1">
      <c r="A64" s="252"/>
      <c r="B64" s="252" t="s">
        <v>906</v>
      </c>
      <c r="C64" s="253">
        <v>1550</v>
      </c>
      <c r="D64" s="254">
        <v>10</v>
      </c>
      <c r="E64" s="254">
        <v>0.05</v>
      </c>
      <c r="F64" s="254">
        <f>D64/E64</f>
        <v>200</v>
      </c>
      <c r="G64" s="254">
        <v>0.15</v>
      </c>
      <c r="H64" s="255"/>
      <c r="I64" s="254">
        <f>F64*0.85</f>
        <v>170</v>
      </c>
      <c r="J64" s="253">
        <f t="shared" si="27"/>
        <v>9.117647058823529</v>
      </c>
      <c r="K64" s="256">
        <v>0.3</v>
      </c>
      <c r="L64" s="256">
        <v>0.2</v>
      </c>
      <c r="M64" s="253">
        <f t="shared" si="28"/>
        <v>13.676470588235293</v>
      </c>
      <c r="N64" s="253">
        <f t="shared" si="6"/>
        <v>10</v>
      </c>
    </row>
    <row r="65" spans="1:15" s="257" customFormat="1" ht="28.8" hidden="1" customHeight="1">
      <c r="A65" s="252"/>
      <c r="B65" s="252" t="s">
        <v>907</v>
      </c>
      <c r="C65" s="253">
        <v>2640</v>
      </c>
      <c r="D65" s="254">
        <v>10</v>
      </c>
      <c r="E65" s="254">
        <v>0.05</v>
      </c>
      <c r="F65" s="254">
        <f>D65/E65</f>
        <v>200</v>
      </c>
      <c r="G65" s="254">
        <v>0.15</v>
      </c>
      <c r="H65" s="255"/>
      <c r="I65" s="254">
        <f>F65*0.85</f>
        <v>170</v>
      </c>
      <c r="J65" s="253">
        <f t="shared" si="27"/>
        <v>15.529411764705882</v>
      </c>
      <c r="K65" s="256">
        <v>0.3</v>
      </c>
      <c r="L65" s="256">
        <v>0.2</v>
      </c>
      <c r="M65" s="253">
        <f t="shared" si="28"/>
        <v>23.294117647058822</v>
      </c>
      <c r="N65" s="253">
        <f t="shared" si="6"/>
        <v>20</v>
      </c>
    </row>
    <row r="66" spans="1:15" s="257" customFormat="1" ht="33" hidden="1" customHeight="1">
      <c r="A66" s="252"/>
      <c r="B66" s="252" t="s">
        <v>894</v>
      </c>
      <c r="C66" s="253">
        <v>4181.82</v>
      </c>
      <c r="D66" s="254">
        <v>108</v>
      </c>
      <c r="E66" s="254" t="s">
        <v>1024</v>
      </c>
      <c r="F66" s="254">
        <f>D66/3.5</f>
        <v>30.857142857142858</v>
      </c>
      <c r="G66" s="254"/>
      <c r="H66" s="255"/>
      <c r="I66" s="254">
        <f>F66</f>
        <v>30.857142857142858</v>
      </c>
      <c r="J66" s="253">
        <f t="shared" si="27"/>
        <v>135.52194444444444</v>
      </c>
      <c r="K66" s="256">
        <v>0.3</v>
      </c>
      <c r="L66" s="256">
        <v>0.2</v>
      </c>
      <c r="M66" s="253">
        <f t="shared" si="28"/>
        <v>203.28291666666667</v>
      </c>
      <c r="N66" s="253">
        <f t="shared" si="6"/>
        <v>200</v>
      </c>
    </row>
    <row r="67" spans="1:15" s="257" customFormat="1" ht="14.4" hidden="1" customHeight="1">
      <c r="A67" s="252"/>
      <c r="B67" s="252" t="s">
        <v>882</v>
      </c>
      <c r="C67" s="253">
        <v>1355.6</v>
      </c>
      <c r="D67" s="254">
        <v>5</v>
      </c>
      <c r="E67" s="254">
        <v>0.15</v>
      </c>
      <c r="F67" s="254">
        <f>D67/E67</f>
        <v>33.333333333333336</v>
      </c>
      <c r="G67" s="254"/>
      <c r="H67" s="255"/>
      <c r="I67" s="254">
        <f>F67</f>
        <v>33.333333333333336</v>
      </c>
      <c r="J67" s="253">
        <f t="shared" si="27"/>
        <v>40.667999999999992</v>
      </c>
      <c r="K67" s="256">
        <v>0.3</v>
      </c>
      <c r="L67" s="256">
        <v>0.2</v>
      </c>
      <c r="M67" s="253">
        <f t="shared" si="28"/>
        <v>61.001999999999988</v>
      </c>
      <c r="N67" s="253">
        <f t="shared" si="6"/>
        <v>60</v>
      </c>
    </row>
    <row r="68" spans="1:15" s="257" customFormat="1" ht="15" hidden="1" customHeight="1">
      <c r="A68" s="252"/>
      <c r="B68" s="252" t="s">
        <v>883</v>
      </c>
      <c r="C68" s="253">
        <v>1777.8</v>
      </c>
      <c r="D68" s="254">
        <v>4</v>
      </c>
      <c r="E68" s="254">
        <v>0.15</v>
      </c>
      <c r="F68" s="254">
        <f>D68/E68</f>
        <v>26.666666666666668</v>
      </c>
      <c r="G68" s="254"/>
      <c r="H68" s="255"/>
      <c r="I68" s="254">
        <f>F68</f>
        <v>26.666666666666668</v>
      </c>
      <c r="J68" s="253">
        <f t="shared" si="27"/>
        <v>66.66749999999999</v>
      </c>
      <c r="K68" s="256">
        <v>0.3</v>
      </c>
      <c r="L68" s="256">
        <v>0.2</v>
      </c>
      <c r="M68" s="253">
        <f t="shared" si="28"/>
        <v>100.00124999999998</v>
      </c>
      <c r="N68" s="253">
        <f t="shared" si="6"/>
        <v>100</v>
      </c>
    </row>
    <row r="69" spans="1:15" s="257" customFormat="1" ht="14.4" hidden="1" customHeight="1">
      <c r="A69" s="252"/>
      <c r="B69" s="252" t="s">
        <v>884</v>
      </c>
      <c r="C69" s="253">
        <v>2390</v>
      </c>
      <c r="D69" s="254">
        <v>4</v>
      </c>
      <c r="E69" s="254">
        <v>0.15</v>
      </c>
      <c r="F69" s="254">
        <f>D69/E69</f>
        <v>26.666666666666668</v>
      </c>
      <c r="G69" s="254"/>
      <c r="H69" s="255"/>
      <c r="I69" s="254">
        <f>F69</f>
        <v>26.666666666666668</v>
      </c>
      <c r="J69" s="253">
        <f t="shared" si="27"/>
        <v>89.625</v>
      </c>
      <c r="K69" s="256">
        <v>0.3</v>
      </c>
      <c r="L69" s="256">
        <v>0.2</v>
      </c>
      <c r="M69" s="253">
        <f t="shared" si="28"/>
        <v>134.4375</v>
      </c>
      <c r="N69" s="253">
        <f t="shared" si="6"/>
        <v>130</v>
      </c>
    </row>
    <row r="70" spans="1:15" s="257" customFormat="1" ht="26.4" hidden="1" customHeight="1">
      <c r="A70" s="252"/>
      <c r="B70" s="252" t="s">
        <v>945</v>
      </c>
      <c r="C70" s="253">
        <v>400</v>
      </c>
      <c r="D70" s="254">
        <v>23</v>
      </c>
      <c r="E70" s="254">
        <f>D70/F70</f>
        <v>0.115</v>
      </c>
      <c r="F70" s="254">
        <v>200</v>
      </c>
      <c r="G70" s="254"/>
      <c r="H70" s="255"/>
      <c r="I70" s="254">
        <f>F70</f>
        <v>200</v>
      </c>
      <c r="J70" s="253">
        <f t="shared" si="27"/>
        <v>2</v>
      </c>
      <c r="K70" s="256"/>
      <c r="L70" s="256">
        <v>0.2</v>
      </c>
      <c r="M70" s="253">
        <f t="shared" si="28"/>
        <v>2.4</v>
      </c>
      <c r="N70" s="253">
        <f t="shared" si="6"/>
        <v>0</v>
      </c>
    </row>
    <row r="71" spans="1:15" s="257" customFormat="1" ht="15" hidden="1" customHeight="1">
      <c r="A71" s="252"/>
      <c r="B71" s="252" t="s">
        <v>977</v>
      </c>
      <c r="C71" s="253">
        <v>2195</v>
      </c>
      <c r="D71" s="254">
        <v>5</v>
      </c>
      <c r="E71" s="254">
        <v>1</v>
      </c>
      <c r="F71" s="254">
        <v>5</v>
      </c>
      <c r="G71" s="254"/>
      <c r="H71" s="255"/>
      <c r="I71" s="254">
        <v>5</v>
      </c>
      <c r="J71" s="253">
        <f t="shared" si="27"/>
        <v>439</v>
      </c>
      <c r="K71" s="256">
        <v>0.5</v>
      </c>
      <c r="L71" s="256">
        <v>0.2</v>
      </c>
      <c r="M71" s="253">
        <f t="shared" si="28"/>
        <v>746.3</v>
      </c>
      <c r="N71" s="253">
        <f>ROUND(M71,0)</f>
        <v>746</v>
      </c>
      <c r="O71" s="257">
        <f>ROUND(N71*1.1/10,0)*10</f>
        <v>820</v>
      </c>
    </row>
    <row r="72" spans="1:15" s="257" customFormat="1" ht="15" hidden="1" customHeight="1">
      <c r="A72" s="252"/>
      <c r="B72" s="252" t="s">
        <v>978</v>
      </c>
      <c r="C72" s="253">
        <v>2195</v>
      </c>
      <c r="D72" s="254">
        <v>5</v>
      </c>
      <c r="E72" s="254">
        <v>1</v>
      </c>
      <c r="F72" s="254">
        <v>5</v>
      </c>
      <c r="G72" s="254"/>
      <c r="H72" s="255"/>
      <c r="I72" s="254">
        <v>5</v>
      </c>
      <c r="J72" s="253">
        <f t="shared" si="27"/>
        <v>439</v>
      </c>
      <c r="K72" s="256">
        <v>0.5</v>
      </c>
      <c r="L72" s="256">
        <v>0.2</v>
      </c>
      <c r="M72" s="253">
        <f t="shared" si="28"/>
        <v>746.3</v>
      </c>
      <c r="N72" s="253">
        <f>ROUND(M72,0)</f>
        <v>746</v>
      </c>
    </row>
    <row r="73" spans="1:15" s="257" customFormat="1" ht="15" hidden="1" customHeight="1">
      <c r="A73" s="252"/>
      <c r="B73" s="252" t="s">
        <v>872</v>
      </c>
      <c r="C73" s="253">
        <v>1668</v>
      </c>
      <c r="D73" s="254">
        <v>30</v>
      </c>
      <c r="E73" s="254">
        <v>0.15</v>
      </c>
      <c r="F73" s="254">
        <f>D73/E73</f>
        <v>200</v>
      </c>
      <c r="G73" s="254">
        <v>0.15</v>
      </c>
      <c r="H73" s="255">
        <v>3</v>
      </c>
      <c r="I73" s="254">
        <f>F73*0.85/3</f>
        <v>56.666666666666664</v>
      </c>
      <c r="J73" s="253">
        <f t="shared" si="27"/>
        <v>29.435294117647061</v>
      </c>
      <c r="K73" s="256">
        <v>0.5</v>
      </c>
      <c r="L73" s="256">
        <v>0.2</v>
      </c>
      <c r="M73" s="253">
        <f t="shared" si="28"/>
        <v>50.040000000000006</v>
      </c>
      <c r="N73" s="253">
        <f t="shared" ref="N73:N107" si="29">ROUND(M73/10,0)*10</f>
        <v>50</v>
      </c>
    </row>
    <row r="74" spans="1:15" s="257" customFormat="1" ht="59.4" hidden="1" customHeight="1">
      <c r="A74" s="252"/>
      <c r="B74" s="252" t="s">
        <v>919</v>
      </c>
      <c r="C74" s="253">
        <v>1716</v>
      </c>
      <c r="D74" s="254">
        <v>5</v>
      </c>
      <c r="E74" s="254" t="s">
        <v>1025</v>
      </c>
      <c r="F74" s="254">
        <f>D74/5</f>
        <v>1</v>
      </c>
      <c r="G74" s="254"/>
      <c r="H74" s="255"/>
      <c r="I74" s="254">
        <f>F74</f>
        <v>1</v>
      </c>
      <c r="J74" s="253">
        <f t="shared" si="27"/>
        <v>1716</v>
      </c>
      <c r="K74" s="256">
        <v>0.3</v>
      </c>
      <c r="L74" s="256">
        <v>0.2</v>
      </c>
      <c r="M74" s="253">
        <f t="shared" si="28"/>
        <v>2574</v>
      </c>
      <c r="N74" s="253">
        <f t="shared" si="29"/>
        <v>2570</v>
      </c>
    </row>
    <row r="75" spans="1:15" s="257" customFormat="1" ht="43.8" hidden="1" customHeight="1">
      <c r="A75" s="252"/>
      <c r="B75" s="252" t="s">
        <v>1165</v>
      </c>
      <c r="C75" s="253">
        <v>2917</v>
      </c>
      <c r="D75" s="254">
        <v>3</v>
      </c>
      <c r="E75" s="254">
        <v>0.12</v>
      </c>
      <c r="F75" s="254">
        <f t="shared" ref="F75:F84" si="30">D75/E75</f>
        <v>25</v>
      </c>
      <c r="G75" s="254"/>
      <c r="H75" s="255"/>
      <c r="I75" s="254">
        <f>F75</f>
        <v>25</v>
      </c>
      <c r="J75" s="253">
        <f t="shared" si="27"/>
        <v>116.68</v>
      </c>
      <c r="K75" s="256">
        <v>0.5</v>
      </c>
      <c r="L75" s="256">
        <v>0.2</v>
      </c>
      <c r="M75" s="253">
        <f t="shared" si="28"/>
        <v>198.35600000000002</v>
      </c>
      <c r="N75" s="253">
        <f t="shared" si="29"/>
        <v>200</v>
      </c>
    </row>
    <row r="76" spans="1:15" s="265" customFormat="1" ht="34.799999999999997" hidden="1" customHeight="1">
      <c r="A76" s="252"/>
      <c r="B76" s="252" t="s">
        <v>943</v>
      </c>
      <c r="C76" s="253">
        <v>2219</v>
      </c>
      <c r="D76" s="254">
        <v>45</v>
      </c>
      <c r="E76" s="254">
        <v>2.5</v>
      </c>
      <c r="F76" s="254">
        <f t="shared" si="30"/>
        <v>18</v>
      </c>
      <c r="G76" s="254">
        <v>0.15</v>
      </c>
      <c r="H76" s="255"/>
      <c r="I76" s="254">
        <f>F76*0.85</f>
        <v>15.299999999999999</v>
      </c>
      <c r="J76" s="253">
        <f t="shared" si="27"/>
        <v>145.03267973856211</v>
      </c>
      <c r="K76" s="256">
        <v>0.5</v>
      </c>
      <c r="L76" s="256">
        <v>0.2</v>
      </c>
      <c r="M76" s="253">
        <f t="shared" si="28"/>
        <v>246.55555555555557</v>
      </c>
      <c r="N76" s="253">
        <f t="shared" si="29"/>
        <v>250</v>
      </c>
    </row>
    <row r="77" spans="1:15" s="265" customFormat="1" ht="39" hidden="1" customHeight="1">
      <c r="A77" s="252"/>
      <c r="B77" s="252" t="s">
        <v>1166</v>
      </c>
      <c r="C77" s="253">
        <v>2725.45</v>
      </c>
      <c r="D77" s="254">
        <v>45</v>
      </c>
      <c r="E77" s="254">
        <v>2.5</v>
      </c>
      <c r="F77" s="254">
        <f t="shared" si="30"/>
        <v>18</v>
      </c>
      <c r="G77" s="254">
        <v>0.2</v>
      </c>
      <c r="H77" s="255"/>
      <c r="I77" s="254">
        <f>F77*0.79</f>
        <v>14.22</v>
      </c>
      <c r="J77" s="253">
        <f>C77/I77</f>
        <v>191.66315049226441</v>
      </c>
      <c r="K77" s="256">
        <v>0.3</v>
      </c>
      <c r="L77" s="256">
        <v>0.25</v>
      </c>
      <c r="M77" s="253">
        <f t="shared" si="28"/>
        <v>297.07788326300982</v>
      </c>
      <c r="N77" s="253">
        <f t="shared" si="29"/>
        <v>300</v>
      </c>
    </row>
    <row r="78" spans="1:15" s="265" customFormat="1" ht="31.2" hidden="1" customHeight="1">
      <c r="A78" s="252"/>
      <c r="B78" s="252" t="s">
        <v>1304</v>
      </c>
      <c r="C78" s="253">
        <v>2845</v>
      </c>
      <c r="D78" s="254">
        <v>45</v>
      </c>
      <c r="E78" s="254">
        <v>2.5</v>
      </c>
      <c r="F78" s="254">
        <f t="shared" ref="F78" si="31">D78/E78</f>
        <v>18</v>
      </c>
      <c r="G78" s="254">
        <v>0.2</v>
      </c>
      <c r="H78" s="255"/>
      <c r="I78" s="254">
        <f>F78*0.79</f>
        <v>14.22</v>
      </c>
      <c r="J78" s="253">
        <f>C78/I78</f>
        <v>200.07032348804501</v>
      </c>
      <c r="K78" s="256">
        <v>0.3</v>
      </c>
      <c r="L78" s="256">
        <v>0.25</v>
      </c>
      <c r="M78" s="253">
        <f t="shared" ref="M78" si="32">J78+J78*K78+J78*L78</f>
        <v>310.10900140646976</v>
      </c>
      <c r="N78" s="253">
        <f t="shared" si="29"/>
        <v>310</v>
      </c>
    </row>
    <row r="79" spans="1:15" s="335" customFormat="1" ht="31.2" hidden="1" customHeight="1">
      <c r="A79" s="318"/>
      <c r="B79" s="318" t="s">
        <v>1406</v>
      </c>
      <c r="C79" s="250">
        <v>538</v>
      </c>
      <c r="D79" s="319">
        <v>50</v>
      </c>
      <c r="E79" s="319">
        <v>2.5</v>
      </c>
      <c r="F79" s="319">
        <f t="shared" ref="F79" si="33">D79/E79</f>
        <v>20</v>
      </c>
      <c r="G79" s="319">
        <v>0.2</v>
      </c>
      <c r="H79" s="320"/>
      <c r="I79" s="319">
        <f>F79*0.79</f>
        <v>15.8</v>
      </c>
      <c r="J79" s="250">
        <f>C79/I79</f>
        <v>34.050632911392405</v>
      </c>
      <c r="K79" s="321">
        <v>0.5</v>
      </c>
      <c r="L79" s="321">
        <v>0.25</v>
      </c>
      <c r="M79" s="250">
        <f t="shared" ref="M79" si="34">J79+J79*K79+J79*L79</f>
        <v>59.588607594936711</v>
      </c>
      <c r="N79" s="250">
        <f t="shared" ref="N79" si="35">ROUND(M79/10,0)*10</f>
        <v>60</v>
      </c>
    </row>
    <row r="80" spans="1:15" s="265" customFormat="1" ht="31.2" hidden="1" customHeight="1">
      <c r="A80" s="252"/>
      <c r="B80" s="252" t="s">
        <v>1026</v>
      </c>
      <c r="C80" s="253">
        <v>2077</v>
      </c>
      <c r="D80" s="254">
        <v>45</v>
      </c>
      <c r="E80" s="254">
        <v>2.5</v>
      </c>
      <c r="F80" s="254">
        <f t="shared" si="30"/>
        <v>18</v>
      </c>
      <c r="G80" s="254">
        <v>0.15</v>
      </c>
      <c r="H80" s="255"/>
      <c r="I80" s="254">
        <f>F80*0.85</f>
        <v>15.299999999999999</v>
      </c>
      <c r="J80" s="253">
        <f t="shared" si="27"/>
        <v>135.75163398692811</v>
      </c>
      <c r="K80" s="256">
        <v>0.5</v>
      </c>
      <c r="L80" s="256">
        <v>0.2</v>
      </c>
      <c r="M80" s="253">
        <f t="shared" si="28"/>
        <v>230.77777777777777</v>
      </c>
      <c r="N80" s="253">
        <f t="shared" si="29"/>
        <v>230</v>
      </c>
    </row>
    <row r="81" spans="1:14" s="257" customFormat="1" ht="34.200000000000003" hidden="1" customHeight="1">
      <c r="A81" s="252"/>
      <c r="B81" s="252" t="s">
        <v>905</v>
      </c>
      <c r="C81" s="253">
        <v>241.7</v>
      </c>
      <c r="D81" s="254">
        <v>10</v>
      </c>
      <c r="E81" s="254">
        <v>1</v>
      </c>
      <c r="F81" s="254">
        <f t="shared" si="30"/>
        <v>10</v>
      </c>
      <c r="G81" s="254"/>
      <c r="H81" s="255"/>
      <c r="I81" s="254">
        <v>10</v>
      </c>
      <c r="J81" s="253">
        <f t="shared" si="27"/>
        <v>24.169999999999998</v>
      </c>
      <c r="K81" s="256"/>
      <c r="L81" s="256">
        <v>0.2</v>
      </c>
      <c r="M81" s="253">
        <f t="shared" si="28"/>
        <v>29.003999999999998</v>
      </c>
      <c r="N81" s="253">
        <f t="shared" si="29"/>
        <v>30</v>
      </c>
    </row>
    <row r="82" spans="1:14" s="257" customFormat="1" ht="77.400000000000006" hidden="1" customHeight="1">
      <c r="A82" s="252"/>
      <c r="B82" s="252" t="s">
        <v>1178</v>
      </c>
      <c r="C82" s="253">
        <v>1956</v>
      </c>
      <c r="D82" s="254">
        <f>2*2</f>
        <v>4</v>
      </c>
      <c r="E82" s="254">
        <v>0.2</v>
      </c>
      <c r="F82" s="254">
        <f t="shared" si="30"/>
        <v>20</v>
      </c>
      <c r="G82" s="254"/>
      <c r="H82" s="255"/>
      <c r="I82" s="254">
        <f>F82</f>
        <v>20</v>
      </c>
      <c r="J82" s="253">
        <f t="shared" si="27"/>
        <v>97.8</v>
      </c>
      <c r="K82" s="256">
        <v>0.5</v>
      </c>
      <c r="L82" s="256">
        <v>0.2</v>
      </c>
      <c r="M82" s="253">
        <f t="shared" si="28"/>
        <v>166.26</v>
      </c>
      <c r="N82" s="253">
        <f t="shared" si="29"/>
        <v>170</v>
      </c>
    </row>
    <row r="83" spans="1:14" s="318" customFormat="1" ht="48.6" hidden="1" customHeight="1">
      <c r="B83" s="318" t="s">
        <v>1346</v>
      </c>
      <c r="C83" s="250">
        <v>1250</v>
      </c>
      <c r="D83" s="319">
        <v>4</v>
      </c>
      <c r="E83" s="319">
        <v>0.2</v>
      </c>
      <c r="F83" s="319">
        <f>D83/E83</f>
        <v>20</v>
      </c>
      <c r="G83" s="319"/>
      <c r="H83" s="320"/>
      <c r="I83" s="319">
        <f>F83</f>
        <v>20</v>
      </c>
      <c r="J83" s="250">
        <f>C83/I83</f>
        <v>62.5</v>
      </c>
      <c r="K83" s="321">
        <v>0.5</v>
      </c>
      <c r="L83" s="321">
        <v>0.25</v>
      </c>
      <c r="M83" s="250">
        <f>J83+J83*K83+J83*L83</f>
        <v>109.375</v>
      </c>
      <c r="N83" s="250">
        <f t="shared" si="29"/>
        <v>110</v>
      </c>
    </row>
    <row r="84" spans="1:14" s="252" customFormat="1" ht="20.399999999999999" hidden="1" customHeight="1">
      <c r="B84" s="252" t="s">
        <v>942</v>
      </c>
      <c r="C84" s="252">
        <v>5445</v>
      </c>
      <c r="D84" s="252">
        <v>2</v>
      </c>
      <c r="E84" s="252">
        <v>2</v>
      </c>
      <c r="F84" s="252">
        <f t="shared" si="30"/>
        <v>1</v>
      </c>
      <c r="H84" s="252">
        <v>1</v>
      </c>
      <c r="I84" s="252">
        <f>F84</f>
        <v>1</v>
      </c>
      <c r="J84" s="252">
        <f t="shared" si="27"/>
        <v>5445</v>
      </c>
      <c r="M84" s="252">
        <f t="shared" si="28"/>
        <v>5445</v>
      </c>
      <c r="N84" s="252">
        <f t="shared" si="29"/>
        <v>5450</v>
      </c>
    </row>
    <row r="85" spans="1:14" s="257" customFormat="1" ht="15" hidden="1" customHeight="1">
      <c r="A85" s="252"/>
      <c r="B85" s="252" t="s">
        <v>924</v>
      </c>
      <c r="C85" s="253">
        <v>5445</v>
      </c>
      <c r="D85" s="254">
        <v>1</v>
      </c>
      <c r="E85" s="254">
        <v>1</v>
      </c>
      <c r="F85" s="254">
        <v>1</v>
      </c>
      <c r="G85" s="254"/>
      <c r="H85" s="255"/>
      <c r="I85" s="254">
        <v>1</v>
      </c>
      <c r="J85" s="253">
        <f t="shared" si="27"/>
        <v>5445</v>
      </c>
      <c r="K85" s="256"/>
      <c r="L85" s="256"/>
      <c r="M85" s="253">
        <f t="shared" si="28"/>
        <v>5445</v>
      </c>
      <c r="N85" s="253">
        <f t="shared" si="29"/>
        <v>5450</v>
      </c>
    </row>
    <row r="86" spans="1:14" s="257" customFormat="1" ht="41.4" hidden="1" customHeight="1">
      <c r="A86" s="252"/>
      <c r="B86" s="252" t="s">
        <v>1285</v>
      </c>
      <c r="C86" s="253">
        <v>2240</v>
      </c>
      <c r="D86" s="254">
        <v>10</v>
      </c>
      <c r="E86" s="254">
        <v>1</v>
      </c>
      <c r="F86" s="254">
        <v>1</v>
      </c>
      <c r="G86" s="254"/>
      <c r="H86" s="255">
        <v>1</v>
      </c>
      <c r="I86" s="254">
        <f>F86</f>
        <v>1</v>
      </c>
      <c r="J86" s="253">
        <f>C86/D86*E86*F86*H86*I86</f>
        <v>224</v>
      </c>
      <c r="K86" s="256">
        <v>0.25</v>
      </c>
      <c r="L86" s="256">
        <v>0.1</v>
      </c>
      <c r="M86" s="253">
        <f t="shared" si="28"/>
        <v>302.39999999999998</v>
      </c>
      <c r="N86" s="253">
        <f t="shared" si="29"/>
        <v>300</v>
      </c>
    </row>
    <row r="87" spans="1:14" s="257" customFormat="1" ht="15" hidden="1" customHeight="1">
      <c r="A87" s="252"/>
      <c r="B87" s="252" t="s">
        <v>1283</v>
      </c>
      <c r="C87" s="253">
        <v>3000</v>
      </c>
      <c r="D87" s="254">
        <v>1</v>
      </c>
      <c r="E87" s="254">
        <v>1</v>
      </c>
      <c r="F87" s="254">
        <v>1</v>
      </c>
      <c r="G87" s="254"/>
      <c r="H87" s="255"/>
      <c r="I87" s="254">
        <v>1</v>
      </c>
      <c r="J87" s="253">
        <f>C87/I87</f>
        <v>3000</v>
      </c>
      <c r="K87" s="256"/>
      <c r="L87" s="256">
        <v>0.2</v>
      </c>
      <c r="M87" s="253">
        <f t="shared" si="28"/>
        <v>3600</v>
      </c>
      <c r="N87" s="253">
        <f t="shared" si="29"/>
        <v>3600</v>
      </c>
    </row>
    <row r="88" spans="1:14" s="257" customFormat="1" ht="43.2" hidden="1" customHeight="1">
      <c r="A88" s="252"/>
      <c r="B88" s="252" t="s">
        <v>1284</v>
      </c>
      <c r="C88" s="253">
        <v>2904</v>
      </c>
      <c r="D88" s="254">
        <v>10</v>
      </c>
      <c r="E88" s="254">
        <v>1</v>
      </c>
      <c r="F88" s="254">
        <v>1</v>
      </c>
      <c r="G88" s="254"/>
      <c r="H88" s="255">
        <v>1</v>
      </c>
      <c r="I88" s="254">
        <v>1</v>
      </c>
      <c r="J88" s="253">
        <f>C88/D88*E88*F88*H88*I88</f>
        <v>290.39999999999998</v>
      </c>
      <c r="K88" s="256">
        <v>0.2</v>
      </c>
      <c r="L88" s="256">
        <v>0.25</v>
      </c>
      <c r="M88" s="253">
        <f t="shared" si="28"/>
        <v>421.07999999999993</v>
      </c>
      <c r="N88" s="253">
        <f t="shared" si="29"/>
        <v>420</v>
      </c>
    </row>
    <row r="89" spans="1:14" s="257" customFormat="1" ht="25.2" hidden="1" customHeight="1">
      <c r="A89" s="252"/>
      <c r="B89" s="252" t="s">
        <v>895</v>
      </c>
      <c r="C89" s="253">
        <v>3300</v>
      </c>
      <c r="D89" s="254">
        <v>5</v>
      </c>
      <c r="E89" s="254">
        <f>D89/125</f>
        <v>0.04</v>
      </c>
      <c r="F89" s="254">
        <v>125</v>
      </c>
      <c r="G89" s="254"/>
      <c r="H89" s="255"/>
      <c r="I89" s="254">
        <f>F89</f>
        <v>125</v>
      </c>
      <c r="J89" s="253">
        <f>C89/I89</f>
        <v>26.4</v>
      </c>
      <c r="K89" s="256">
        <v>0.3</v>
      </c>
      <c r="L89" s="256">
        <v>0.2</v>
      </c>
      <c r="M89" s="253">
        <f t="shared" si="28"/>
        <v>39.6</v>
      </c>
      <c r="N89" s="253">
        <f t="shared" si="29"/>
        <v>40</v>
      </c>
    </row>
    <row r="90" spans="1:14" s="257" customFormat="1" ht="23.4" hidden="1" customHeight="1">
      <c r="A90" s="252"/>
      <c r="B90" s="252" t="s">
        <v>893</v>
      </c>
      <c r="C90" s="253">
        <v>1465</v>
      </c>
      <c r="D90" s="254">
        <v>5</v>
      </c>
      <c r="E90" s="254">
        <f>D90/125</f>
        <v>0.04</v>
      </c>
      <c r="F90" s="254">
        <v>125</v>
      </c>
      <c r="G90" s="254"/>
      <c r="H90" s="255"/>
      <c r="I90" s="254">
        <f>F90</f>
        <v>125</v>
      </c>
      <c r="J90" s="253">
        <f>C90/I90</f>
        <v>11.72</v>
      </c>
      <c r="K90" s="256">
        <v>0.3</v>
      </c>
      <c r="L90" s="256">
        <v>0.2</v>
      </c>
      <c r="M90" s="253">
        <f t="shared" si="28"/>
        <v>17.580000000000002</v>
      </c>
      <c r="N90" s="253">
        <f t="shared" si="29"/>
        <v>20</v>
      </c>
    </row>
    <row r="91" spans="1:14" s="257" customFormat="1" ht="24" hidden="1" customHeight="1">
      <c r="A91" s="252"/>
      <c r="B91" s="252" t="s">
        <v>925</v>
      </c>
      <c r="C91" s="253">
        <v>1188</v>
      </c>
      <c r="D91" s="254">
        <v>1</v>
      </c>
      <c r="E91" s="254">
        <v>1</v>
      </c>
      <c r="F91" s="254">
        <v>1</v>
      </c>
      <c r="G91" s="254"/>
      <c r="H91" s="255">
        <v>3</v>
      </c>
      <c r="I91" s="254">
        <v>1</v>
      </c>
      <c r="J91" s="253">
        <f>C91/I91*H91</f>
        <v>3564</v>
      </c>
      <c r="K91" s="256"/>
      <c r="L91" s="256"/>
      <c r="M91" s="253">
        <f t="shared" si="28"/>
        <v>3564</v>
      </c>
      <c r="N91" s="253">
        <f t="shared" si="29"/>
        <v>3560</v>
      </c>
    </row>
    <row r="92" spans="1:14" s="257" customFormat="1" ht="15" hidden="1" customHeight="1">
      <c r="A92" s="252"/>
      <c r="B92" s="252" t="s">
        <v>898</v>
      </c>
      <c r="C92" s="253">
        <v>1000</v>
      </c>
      <c r="D92" s="254">
        <v>3</v>
      </c>
      <c r="E92" s="254">
        <v>0.1</v>
      </c>
      <c r="F92" s="254">
        <v>60</v>
      </c>
      <c r="G92" s="254"/>
      <c r="H92" s="255"/>
      <c r="I92" s="254">
        <f>F92</f>
        <v>60</v>
      </c>
      <c r="J92" s="253">
        <f t="shared" ref="J92:J108" si="36">C92/I92</f>
        <v>16.666666666666668</v>
      </c>
      <c r="K92" s="256">
        <v>0.3</v>
      </c>
      <c r="L92" s="256">
        <v>0.2</v>
      </c>
      <c r="M92" s="253">
        <f t="shared" ref="M92:M119" si="37">J92+J92*K92+J92*L92</f>
        <v>25</v>
      </c>
      <c r="N92" s="253">
        <f t="shared" si="29"/>
        <v>30</v>
      </c>
    </row>
    <row r="93" spans="1:14" s="257" customFormat="1" ht="15" hidden="1" customHeight="1">
      <c r="A93" s="252"/>
      <c r="B93" s="252" t="s">
        <v>1303</v>
      </c>
      <c r="C93" s="253">
        <v>385</v>
      </c>
      <c r="D93" s="254">
        <v>1</v>
      </c>
      <c r="E93" s="254">
        <v>1</v>
      </c>
      <c r="F93" s="254">
        <f t="shared" ref="F93:F104" si="38">D93/E93</f>
        <v>1</v>
      </c>
      <c r="G93" s="254"/>
      <c r="H93" s="255"/>
      <c r="I93" s="254">
        <f>F93</f>
        <v>1</v>
      </c>
      <c r="J93" s="253">
        <f t="shared" si="36"/>
        <v>385</v>
      </c>
      <c r="K93" s="256">
        <v>0.25</v>
      </c>
      <c r="L93" s="256"/>
      <c r="M93" s="253">
        <f t="shared" si="37"/>
        <v>481.25</v>
      </c>
      <c r="N93" s="253">
        <f t="shared" si="29"/>
        <v>480</v>
      </c>
    </row>
    <row r="94" spans="1:14" s="257" customFormat="1" ht="73.8" hidden="1" customHeight="1">
      <c r="A94" s="252"/>
      <c r="B94" s="252" t="s">
        <v>1302</v>
      </c>
      <c r="C94" s="253">
        <v>1306</v>
      </c>
      <c r="D94" s="254">
        <v>1</v>
      </c>
      <c r="E94" s="254">
        <v>1</v>
      </c>
      <c r="F94" s="254">
        <f t="shared" ref="F94" si="39">D94/E94</f>
        <v>1</v>
      </c>
      <c r="G94" s="254"/>
      <c r="H94" s="255"/>
      <c r="I94" s="254">
        <f>F94</f>
        <v>1</v>
      </c>
      <c r="J94" s="253">
        <f t="shared" ref="J94" si="40">C94/I94</f>
        <v>1306</v>
      </c>
      <c r="K94" s="256">
        <v>0.3</v>
      </c>
      <c r="L94" s="256">
        <v>0.25</v>
      </c>
      <c r="M94" s="253">
        <f t="shared" ref="M94" si="41">J94+J94*K94+J94*L94</f>
        <v>2024.3</v>
      </c>
      <c r="N94" s="253">
        <f t="shared" si="29"/>
        <v>2020</v>
      </c>
    </row>
    <row r="95" spans="1:14" s="257" customFormat="1" ht="27.6" hidden="1" customHeight="1">
      <c r="A95" s="252"/>
      <c r="B95" s="252" t="s">
        <v>1094</v>
      </c>
      <c r="C95" s="253">
        <v>28956</v>
      </c>
      <c r="D95" s="254">
        <v>32</v>
      </c>
      <c r="E95" s="254">
        <v>0.15</v>
      </c>
      <c r="F95" s="254">
        <f t="shared" si="38"/>
        <v>213.33333333333334</v>
      </c>
      <c r="G95" s="254">
        <v>0.15</v>
      </c>
      <c r="H95" s="255" t="s">
        <v>844</v>
      </c>
      <c r="I95" s="254">
        <f>F95*0.85</f>
        <v>181.33333333333334</v>
      </c>
      <c r="J95" s="253">
        <f t="shared" si="36"/>
        <v>159.68382352941177</v>
      </c>
      <c r="K95" s="256">
        <v>0.5</v>
      </c>
      <c r="L95" s="256">
        <v>0.25</v>
      </c>
      <c r="M95" s="253">
        <f t="shared" si="37"/>
        <v>279.44669117647061</v>
      </c>
      <c r="N95" s="253">
        <f t="shared" si="29"/>
        <v>280</v>
      </c>
    </row>
    <row r="96" spans="1:14" s="257" customFormat="1" ht="14.4" hidden="1" customHeight="1">
      <c r="A96" s="252"/>
      <c r="B96" s="252" t="s">
        <v>881</v>
      </c>
      <c r="C96" s="253">
        <v>961</v>
      </c>
      <c r="D96" s="254">
        <v>24</v>
      </c>
      <c r="E96" s="254">
        <v>0.15</v>
      </c>
      <c r="F96" s="254">
        <f t="shared" si="38"/>
        <v>160</v>
      </c>
      <c r="G96" s="254">
        <v>0.15</v>
      </c>
      <c r="H96" s="255">
        <v>3</v>
      </c>
      <c r="I96" s="254">
        <f>F96*0.85/3</f>
        <v>45.333333333333336</v>
      </c>
      <c r="J96" s="253">
        <f t="shared" si="36"/>
        <v>21.198529411764707</v>
      </c>
      <c r="K96" s="256">
        <v>0.5</v>
      </c>
      <c r="L96" s="256">
        <v>0.2</v>
      </c>
      <c r="M96" s="253">
        <f t="shared" si="37"/>
        <v>36.037500000000001</v>
      </c>
      <c r="N96" s="253">
        <f t="shared" si="29"/>
        <v>40</v>
      </c>
    </row>
    <row r="97" spans="1:14" s="257" customFormat="1" ht="14.4" hidden="1" customHeight="1">
      <c r="A97" s="252"/>
      <c r="B97" s="252" t="s">
        <v>891</v>
      </c>
      <c r="C97" s="253">
        <v>1001</v>
      </c>
      <c r="D97" s="254">
        <v>10</v>
      </c>
      <c r="E97" s="254">
        <v>0.15</v>
      </c>
      <c r="F97" s="254">
        <f t="shared" si="38"/>
        <v>66.666666666666671</v>
      </c>
      <c r="G97" s="254"/>
      <c r="H97" s="255"/>
      <c r="I97" s="254">
        <f>F97</f>
        <v>66.666666666666671</v>
      </c>
      <c r="J97" s="253">
        <f t="shared" si="36"/>
        <v>15.014999999999999</v>
      </c>
      <c r="K97" s="256">
        <v>0.3</v>
      </c>
      <c r="L97" s="256">
        <v>0.2</v>
      </c>
      <c r="M97" s="253">
        <f t="shared" si="37"/>
        <v>22.522499999999997</v>
      </c>
      <c r="N97" s="253">
        <f t="shared" si="29"/>
        <v>20</v>
      </c>
    </row>
    <row r="98" spans="1:14" s="257" customFormat="1" ht="14.4" hidden="1" customHeight="1">
      <c r="A98" s="252"/>
      <c r="B98" s="252" t="s">
        <v>870</v>
      </c>
      <c r="C98" s="253">
        <v>2840</v>
      </c>
      <c r="D98" s="254">
        <v>15</v>
      </c>
      <c r="E98" s="254">
        <v>0.15</v>
      </c>
      <c r="F98" s="254">
        <f t="shared" si="38"/>
        <v>100</v>
      </c>
      <c r="G98" s="254">
        <v>0.15</v>
      </c>
      <c r="H98" s="255">
        <v>3</v>
      </c>
      <c r="I98" s="254">
        <f>F98*0.85/3</f>
        <v>28.333333333333332</v>
      </c>
      <c r="J98" s="253">
        <f t="shared" si="36"/>
        <v>100.23529411764706</v>
      </c>
      <c r="K98" s="256">
        <v>0.5</v>
      </c>
      <c r="L98" s="256">
        <v>0.2</v>
      </c>
      <c r="M98" s="253">
        <f t="shared" si="37"/>
        <v>170.39999999999998</v>
      </c>
      <c r="N98" s="253">
        <f t="shared" si="29"/>
        <v>170</v>
      </c>
    </row>
    <row r="99" spans="1:14" s="257" customFormat="1" ht="14.4" hidden="1" customHeight="1">
      <c r="A99" s="252"/>
      <c r="B99" s="252" t="s">
        <v>871</v>
      </c>
      <c r="C99" s="253">
        <v>2840</v>
      </c>
      <c r="D99" s="254">
        <v>15</v>
      </c>
      <c r="E99" s="254">
        <v>0.15</v>
      </c>
      <c r="F99" s="254">
        <f t="shared" si="38"/>
        <v>100</v>
      </c>
      <c r="G99" s="254"/>
      <c r="H99" s="255"/>
      <c r="I99" s="254">
        <f t="shared" ref="I99:I104" si="42">F99</f>
        <v>100</v>
      </c>
      <c r="J99" s="253">
        <f t="shared" si="36"/>
        <v>28.4</v>
      </c>
      <c r="K99" s="256">
        <v>0.3</v>
      </c>
      <c r="L99" s="256">
        <v>0.2</v>
      </c>
      <c r="M99" s="253">
        <f t="shared" si="37"/>
        <v>42.6</v>
      </c>
      <c r="N99" s="253">
        <f t="shared" si="29"/>
        <v>40</v>
      </c>
    </row>
    <row r="100" spans="1:14" s="257" customFormat="1" ht="81.599999999999994" hidden="1" customHeight="1">
      <c r="A100" s="252"/>
      <c r="B100" s="252" t="s">
        <v>932</v>
      </c>
      <c r="C100" s="253">
        <v>2197</v>
      </c>
      <c r="D100" s="254">
        <v>40</v>
      </c>
      <c r="E100" s="254">
        <v>1</v>
      </c>
      <c r="F100" s="254">
        <f t="shared" si="38"/>
        <v>40</v>
      </c>
      <c r="G100" s="254"/>
      <c r="H100" s="255">
        <v>1</v>
      </c>
      <c r="I100" s="254">
        <f t="shared" si="42"/>
        <v>40</v>
      </c>
      <c r="J100" s="253">
        <f t="shared" si="36"/>
        <v>54.924999999999997</v>
      </c>
      <c r="K100" s="256"/>
      <c r="L100" s="256">
        <v>0.05</v>
      </c>
      <c r="M100" s="253">
        <f t="shared" si="37"/>
        <v>57.671250000000001</v>
      </c>
      <c r="N100" s="253">
        <f t="shared" si="29"/>
        <v>60</v>
      </c>
    </row>
    <row r="101" spans="1:14" s="257" customFormat="1" ht="14.4" hidden="1" customHeight="1">
      <c r="A101" s="252"/>
      <c r="B101" s="252" t="s">
        <v>1058</v>
      </c>
      <c r="C101" s="253">
        <v>1150</v>
      </c>
      <c r="D101" s="254">
        <v>1</v>
      </c>
      <c r="E101" s="254">
        <v>0.5</v>
      </c>
      <c r="F101" s="254">
        <f t="shared" si="38"/>
        <v>2</v>
      </c>
      <c r="G101" s="254"/>
      <c r="H101" s="255"/>
      <c r="I101" s="254">
        <f t="shared" si="42"/>
        <v>2</v>
      </c>
      <c r="J101" s="253">
        <f t="shared" si="36"/>
        <v>575</v>
      </c>
      <c r="K101" s="256">
        <v>0.3</v>
      </c>
      <c r="L101" s="256">
        <v>0.25</v>
      </c>
      <c r="M101" s="253">
        <f t="shared" si="37"/>
        <v>891.25</v>
      </c>
      <c r="N101" s="253">
        <f t="shared" si="29"/>
        <v>890</v>
      </c>
    </row>
    <row r="102" spans="1:14" s="257" customFormat="1" ht="66.599999999999994" hidden="1" customHeight="1">
      <c r="A102" s="252"/>
      <c r="B102" s="252" t="s">
        <v>930</v>
      </c>
      <c r="C102" s="253">
        <v>1980</v>
      </c>
      <c r="D102" s="254">
        <v>1</v>
      </c>
      <c r="E102" s="254">
        <v>1</v>
      </c>
      <c r="F102" s="254">
        <f t="shared" si="38"/>
        <v>1</v>
      </c>
      <c r="G102" s="254"/>
      <c r="H102" s="255">
        <v>1</v>
      </c>
      <c r="I102" s="254">
        <f t="shared" si="42"/>
        <v>1</v>
      </c>
      <c r="J102" s="253">
        <f t="shared" si="36"/>
        <v>1980</v>
      </c>
      <c r="K102" s="256"/>
      <c r="L102" s="256">
        <v>0.05</v>
      </c>
      <c r="M102" s="253">
        <f t="shared" si="37"/>
        <v>2079</v>
      </c>
      <c r="N102" s="253">
        <f t="shared" si="29"/>
        <v>2080</v>
      </c>
    </row>
    <row r="103" spans="1:14" s="257" customFormat="1" ht="14.4" hidden="1" customHeight="1">
      <c r="A103" s="252"/>
      <c r="B103" s="252" t="s">
        <v>900</v>
      </c>
      <c r="C103" s="253">
        <v>1070</v>
      </c>
      <c r="D103" s="254">
        <v>12</v>
      </c>
      <c r="E103" s="254">
        <v>0.15</v>
      </c>
      <c r="F103" s="254">
        <f t="shared" si="38"/>
        <v>80</v>
      </c>
      <c r="G103" s="254"/>
      <c r="H103" s="255"/>
      <c r="I103" s="254">
        <f t="shared" si="42"/>
        <v>80</v>
      </c>
      <c r="J103" s="253">
        <f t="shared" si="36"/>
        <v>13.375</v>
      </c>
      <c r="K103" s="256">
        <v>0.3</v>
      </c>
      <c r="L103" s="256">
        <v>0.2</v>
      </c>
      <c r="M103" s="253">
        <f t="shared" si="37"/>
        <v>20.0625</v>
      </c>
      <c r="N103" s="253">
        <f t="shared" si="29"/>
        <v>20</v>
      </c>
    </row>
    <row r="104" spans="1:14" s="257" customFormat="1" ht="14.4" hidden="1" customHeight="1">
      <c r="A104" s="252"/>
      <c r="B104" s="252" t="s">
        <v>892</v>
      </c>
      <c r="C104" s="253">
        <v>1089</v>
      </c>
      <c r="D104" s="254">
        <v>8</v>
      </c>
      <c r="E104" s="254">
        <v>0.15</v>
      </c>
      <c r="F104" s="254">
        <f t="shared" si="38"/>
        <v>53.333333333333336</v>
      </c>
      <c r="G104" s="254"/>
      <c r="H104" s="255"/>
      <c r="I104" s="254">
        <f t="shared" si="42"/>
        <v>53.333333333333336</v>
      </c>
      <c r="J104" s="253">
        <f t="shared" si="36"/>
        <v>20.418749999999999</v>
      </c>
      <c r="K104" s="256">
        <v>0.3</v>
      </c>
      <c r="L104" s="256">
        <v>0.2</v>
      </c>
      <c r="M104" s="253">
        <f t="shared" si="37"/>
        <v>30.628124999999997</v>
      </c>
      <c r="N104" s="253">
        <f t="shared" si="29"/>
        <v>30</v>
      </c>
    </row>
    <row r="105" spans="1:14" s="257" customFormat="1" ht="14.4" hidden="1" customHeight="1">
      <c r="A105" s="252"/>
      <c r="B105" s="252" t="s">
        <v>902</v>
      </c>
      <c r="C105" s="253">
        <v>60</v>
      </c>
      <c r="D105" s="254">
        <v>25</v>
      </c>
      <c r="E105" s="254">
        <f>25/50</f>
        <v>0.5</v>
      </c>
      <c r="F105" s="254">
        <v>50</v>
      </c>
      <c r="G105" s="254">
        <v>0.15</v>
      </c>
      <c r="H105" s="255"/>
      <c r="I105" s="254">
        <f>F105*0.85</f>
        <v>42.5</v>
      </c>
      <c r="J105" s="253">
        <f t="shared" si="36"/>
        <v>1.411764705882353</v>
      </c>
      <c r="K105" s="256">
        <v>0.3</v>
      </c>
      <c r="L105" s="256">
        <v>0.2</v>
      </c>
      <c r="M105" s="253">
        <f t="shared" si="37"/>
        <v>2.1176470588235294</v>
      </c>
      <c r="N105" s="253">
        <f t="shared" si="29"/>
        <v>0</v>
      </c>
    </row>
    <row r="106" spans="1:14" s="257" customFormat="1" ht="14.4" hidden="1" customHeight="1">
      <c r="A106" s="252"/>
      <c r="B106" s="252" t="s">
        <v>1248</v>
      </c>
      <c r="C106" s="253">
        <v>5653</v>
      </c>
      <c r="D106" s="254">
        <v>1</v>
      </c>
      <c r="E106" s="254">
        <f>D106/F106</f>
        <v>0.25</v>
      </c>
      <c r="F106" s="254">
        <v>4</v>
      </c>
      <c r="G106" s="254"/>
      <c r="H106" s="255">
        <v>1</v>
      </c>
      <c r="I106" s="254">
        <f>F106</f>
        <v>4</v>
      </c>
      <c r="J106" s="253">
        <f t="shared" si="36"/>
        <v>1413.25</v>
      </c>
      <c r="K106" s="256">
        <v>0.25</v>
      </c>
      <c r="L106" s="256">
        <v>0.1</v>
      </c>
      <c r="M106" s="253">
        <f t="shared" si="37"/>
        <v>1907.8875</v>
      </c>
      <c r="N106" s="253">
        <f t="shared" si="29"/>
        <v>1910</v>
      </c>
    </row>
    <row r="107" spans="1:14" s="257" customFormat="1" ht="14.4" hidden="1" customHeight="1">
      <c r="A107" s="252"/>
      <c r="B107" s="252" t="s">
        <v>1245</v>
      </c>
      <c r="C107" s="253">
        <v>12446</v>
      </c>
      <c r="D107" s="254">
        <v>1</v>
      </c>
      <c r="E107" s="254">
        <f>D107/F107</f>
        <v>0.25</v>
      </c>
      <c r="F107" s="254">
        <v>4</v>
      </c>
      <c r="G107" s="254"/>
      <c r="H107" s="255">
        <v>1</v>
      </c>
      <c r="I107" s="254">
        <f>F107</f>
        <v>4</v>
      </c>
      <c r="J107" s="253">
        <f t="shared" si="36"/>
        <v>3111.5</v>
      </c>
      <c r="K107" s="256">
        <v>0.25</v>
      </c>
      <c r="L107" s="256">
        <v>0.1</v>
      </c>
      <c r="M107" s="253">
        <f t="shared" si="37"/>
        <v>4200.5249999999996</v>
      </c>
      <c r="N107" s="253">
        <f t="shared" si="29"/>
        <v>4200</v>
      </c>
    </row>
    <row r="108" spans="1:14" s="257" customFormat="1" ht="24.6" hidden="1" customHeight="1">
      <c r="A108" s="252"/>
      <c r="B108" s="252" t="s">
        <v>1252</v>
      </c>
      <c r="C108" s="253">
        <v>14555</v>
      </c>
      <c r="D108" s="254">
        <v>1</v>
      </c>
      <c r="E108" s="254">
        <f>D108/F108</f>
        <v>0.25</v>
      </c>
      <c r="F108" s="254">
        <v>4</v>
      </c>
      <c r="G108" s="254"/>
      <c r="H108" s="255">
        <v>1</v>
      </c>
      <c r="I108" s="254">
        <f>F108</f>
        <v>4</v>
      </c>
      <c r="J108" s="253">
        <f t="shared" si="36"/>
        <v>3638.75</v>
      </c>
      <c r="K108" s="256">
        <v>0.25</v>
      </c>
      <c r="L108" s="256">
        <v>0.1</v>
      </c>
      <c r="M108" s="253">
        <f t="shared" si="37"/>
        <v>4912.3125</v>
      </c>
      <c r="N108" s="253">
        <f t="shared" ref="N108:N143" si="43">ROUND(M108/10,0)*10</f>
        <v>4910</v>
      </c>
    </row>
    <row r="109" spans="1:14" s="257" customFormat="1" ht="31.8" hidden="1" customHeight="1">
      <c r="A109" s="252"/>
      <c r="B109" s="252" t="s">
        <v>1246</v>
      </c>
      <c r="C109" s="253">
        <v>242</v>
      </c>
      <c r="D109" s="254">
        <v>1</v>
      </c>
      <c r="E109" s="254">
        <v>1</v>
      </c>
      <c r="F109" s="254">
        <v>1</v>
      </c>
      <c r="G109" s="254"/>
      <c r="H109" s="255">
        <v>1</v>
      </c>
      <c r="I109" s="254">
        <v>1</v>
      </c>
      <c r="J109" s="253">
        <f>C109/D109*E109*F109*H109*I109</f>
        <v>242</v>
      </c>
      <c r="K109" s="256">
        <v>0.25</v>
      </c>
      <c r="L109" s="256">
        <v>0.1</v>
      </c>
      <c r="M109" s="253">
        <f t="shared" si="37"/>
        <v>326.7</v>
      </c>
      <c r="N109" s="253">
        <f t="shared" si="43"/>
        <v>330</v>
      </c>
    </row>
    <row r="110" spans="1:14" s="257" customFormat="1" ht="36.6" hidden="1" customHeight="1">
      <c r="A110" s="252"/>
      <c r="B110" s="252" t="s">
        <v>940</v>
      </c>
      <c r="C110" s="253">
        <v>301</v>
      </c>
      <c r="D110" s="254">
        <v>1</v>
      </c>
      <c r="E110" s="254">
        <v>1</v>
      </c>
      <c r="F110" s="254">
        <v>1</v>
      </c>
      <c r="G110" s="254"/>
      <c r="H110" s="255">
        <v>1</v>
      </c>
      <c r="I110" s="254">
        <v>1</v>
      </c>
      <c r="J110" s="253">
        <f>C110/D110*E110*F110*H110*I110</f>
        <v>301</v>
      </c>
      <c r="K110" s="256">
        <v>0.5</v>
      </c>
      <c r="L110" s="256">
        <v>0.25</v>
      </c>
      <c r="M110" s="253">
        <f t="shared" si="37"/>
        <v>526.75</v>
      </c>
      <c r="N110" s="253">
        <f t="shared" si="43"/>
        <v>530</v>
      </c>
    </row>
    <row r="111" spans="1:14" s="257" customFormat="1" ht="36" hidden="1" customHeight="1">
      <c r="A111" s="252"/>
      <c r="B111" s="252" t="s">
        <v>975</v>
      </c>
      <c r="C111" s="253">
        <v>2321</v>
      </c>
      <c r="D111" s="254">
        <v>10</v>
      </c>
      <c r="E111" s="254">
        <v>0.15</v>
      </c>
      <c r="F111" s="260">
        <f t="shared" ref="F111:F120" si="44">D111/E111</f>
        <v>66.666666666666671</v>
      </c>
      <c r="G111" s="256"/>
      <c r="H111" s="261"/>
      <c r="I111" s="260">
        <f t="shared" ref="I111:I117" si="45">F111</f>
        <v>66.666666666666671</v>
      </c>
      <c r="J111" s="253">
        <f t="shared" ref="J111:J118" si="46">C111/I111</f>
        <v>34.814999999999998</v>
      </c>
      <c r="K111" s="256">
        <v>0.3</v>
      </c>
      <c r="L111" s="256">
        <v>0.2</v>
      </c>
      <c r="M111" s="253">
        <f t="shared" si="37"/>
        <v>52.222499999999997</v>
      </c>
      <c r="N111" s="253">
        <f t="shared" si="43"/>
        <v>50</v>
      </c>
    </row>
    <row r="112" spans="1:14" s="257" customFormat="1" ht="40.200000000000003" hidden="1" customHeight="1">
      <c r="A112" s="252"/>
      <c r="B112" s="252" t="s">
        <v>1244</v>
      </c>
      <c r="C112" s="253">
        <v>3655</v>
      </c>
      <c r="D112" s="254">
        <v>1</v>
      </c>
      <c r="E112" s="254">
        <v>1</v>
      </c>
      <c r="F112" s="254">
        <f t="shared" si="44"/>
        <v>1</v>
      </c>
      <c r="G112" s="254"/>
      <c r="H112" s="255">
        <v>1</v>
      </c>
      <c r="I112" s="254">
        <f t="shared" si="45"/>
        <v>1</v>
      </c>
      <c r="J112" s="253">
        <f t="shared" si="46"/>
        <v>3655</v>
      </c>
      <c r="K112" s="256">
        <v>0.25</v>
      </c>
      <c r="L112" s="256">
        <v>0.1</v>
      </c>
      <c r="M112" s="253">
        <f t="shared" si="37"/>
        <v>4934.25</v>
      </c>
      <c r="N112" s="253">
        <f t="shared" si="43"/>
        <v>4930</v>
      </c>
    </row>
    <row r="113" spans="1:18" s="257" customFormat="1" ht="35.4" hidden="1" customHeight="1">
      <c r="A113" s="252"/>
      <c r="B113" s="252" t="s">
        <v>935</v>
      </c>
      <c r="C113" s="253">
        <v>2272</v>
      </c>
      <c r="D113" s="254">
        <v>1</v>
      </c>
      <c r="E113" s="254">
        <v>1</v>
      </c>
      <c r="F113" s="254">
        <f t="shared" si="44"/>
        <v>1</v>
      </c>
      <c r="G113" s="254"/>
      <c r="H113" s="255">
        <v>1</v>
      </c>
      <c r="I113" s="254">
        <f t="shared" si="45"/>
        <v>1</v>
      </c>
      <c r="J113" s="253">
        <f t="shared" si="46"/>
        <v>2272</v>
      </c>
      <c r="K113" s="256"/>
      <c r="L113" s="256">
        <v>0.25</v>
      </c>
      <c r="M113" s="253">
        <f t="shared" si="37"/>
        <v>2840</v>
      </c>
      <c r="N113" s="253">
        <f t="shared" si="43"/>
        <v>2840</v>
      </c>
    </row>
    <row r="114" spans="1:18" s="257" customFormat="1" ht="37.200000000000003" hidden="1" customHeight="1">
      <c r="A114" s="252"/>
      <c r="B114" s="252" t="s">
        <v>933</v>
      </c>
      <c r="C114" s="253">
        <v>7200</v>
      </c>
      <c r="D114" s="254">
        <v>1</v>
      </c>
      <c r="E114" s="254">
        <v>1</v>
      </c>
      <c r="F114" s="254">
        <f t="shared" si="44"/>
        <v>1</v>
      </c>
      <c r="G114" s="254"/>
      <c r="H114" s="255">
        <v>1</v>
      </c>
      <c r="I114" s="254">
        <f t="shared" si="45"/>
        <v>1</v>
      </c>
      <c r="J114" s="253">
        <f t="shared" si="46"/>
        <v>7200</v>
      </c>
      <c r="K114" s="256"/>
      <c r="L114" s="256">
        <v>0.25</v>
      </c>
      <c r="M114" s="253">
        <f t="shared" si="37"/>
        <v>9000</v>
      </c>
      <c r="N114" s="253">
        <f t="shared" si="43"/>
        <v>9000</v>
      </c>
    </row>
    <row r="115" spans="1:18" s="257" customFormat="1" ht="28.2" hidden="1" customHeight="1">
      <c r="A115" s="252"/>
      <c r="B115" s="252" t="s">
        <v>1263</v>
      </c>
      <c r="C115" s="253">
        <v>3836</v>
      </c>
      <c r="D115" s="254">
        <v>50</v>
      </c>
      <c r="E115" s="254">
        <v>1</v>
      </c>
      <c r="F115" s="254">
        <f t="shared" si="44"/>
        <v>50</v>
      </c>
      <c r="G115" s="254"/>
      <c r="H115" s="255"/>
      <c r="I115" s="254">
        <f t="shared" si="45"/>
        <v>50</v>
      </c>
      <c r="J115" s="253">
        <f t="shared" si="46"/>
        <v>76.72</v>
      </c>
      <c r="K115" s="256">
        <v>0.7</v>
      </c>
      <c r="L115" s="256">
        <v>0.25</v>
      </c>
      <c r="M115" s="253">
        <f t="shared" si="37"/>
        <v>149.60399999999998</v>
      </c>
      <c r="N115" s="253">
        <f t="shared" si="43"/>
        <v>150</v>
      </c>
    </row>
    <row r="116" spans="1:18" s="257" customFormat="1" ht="14.4" hidden="1" customHeight="1">
      <c r="A116" s="252"/>
      <c r="B116" s="252" t="s">
        <v>897</v>
      </c>
      <c r="C116" s="253">
        <v>1530</v>
      </c>
      <c r="D116" s="254">
        <v>3</v>
      </c>
      <c r="E116" s="254">
        <v>0.1</v>
      </c>
      <c r="F116" s="254">
        <f t="shared" si="44"/>
        <v>30</v>
      </c>
      <c r="G116" s="254"/>
      <c r="H116" s="255"/>
      <c r="I116" s="254">
        <f t="shared" si="45"/>
        <v>30</v>
      </c>
      <c r="J116" s="253">
        <f t="shared" si="46"/>
        <v>51</v>
      </c>
      <c r="K116" s="256">
        <v>0.3</v>
      </c>
      <c r="L116" s="256">
        <v>0.2</v>
      </c>
      <c r="M116" s="253">
        <f t="shared" si="37"/>
        <v>76.5</v>
      </c>
      <c r="N116" s="253">
        <f t="shared" si="43"/>
        <v>80</v>
      </c>
    </row>
    <row r="117" spans="1:18" s="257" customFormat="1" ht="14.4" hidden="1" customHeight="1">
      <c r="A117" s="252"/>
      <c r="B117" s="252" t="s">
        <v>956</v>
      </c>
      <c r="C117" s="253">
        <v>780</v>
      </c>
      <c r="D117" s="254">
        <v>2.2000000000000002</v>
      </c>
      <c r="E117" s="254">
        <v>0.1</v>
      </c>
      <c r="F117" s="254">
        <f t="shared" si="44"/>
        <v>22</v>
      </c>
      <c r="G117" s="254"/>
      <c r="H117" s="255"/>
      <c r="I117" s="254">
        <f t="shared" si="45"/>
        <v>22</v>
      </c>
      <c r="J117" s="253">
        <f t="shared" si="46"/>
        <v>35.454545454545453</v>
      </c>
      <c r="K117" s="256">
        <v>0.3</v>
      </c>
      <c r="L117" s="256">
        <v>0.2</v>
      </c>
      <c r="M117" s="253">
        <f t="shared" si="37"/>
        <v>53.18181818181818</v>
      </c>
      <c r="N117" s="253">
        <f t="shared" si="43"/>
        <v>50</v>
      </c>
    </row>
    <row r="118" spans="1:18" s="257" customFormat="1" ht="14.4" hidden="1" customHeight="1">
      <c r="A118" s="252"/>
      <c r="B118" s="252" t="s">
        <v>903</v>
      </c>
      <c r="C118" s="253">
        <v>34.5</v>
      </c>
      <c r="D118" s="254">
        <v>20</v>
      </c>
      <c r="E118" s="254">
        <v>0.2</v>
      </c>
      <c r="F118" s="254">
        <f t="shared" si="44"/>
        <v>100</v>
      </c>
      <c r="G118" s="254">
        <v>0.15</v>
      </c>
      <c r="H118" s="255"/>
      <c r="I118" s="254">
        <f>F118*0.85</f>
        <v>85</v>
      </c>
      <c r="J118" s="253">
        <f t="shared" si="46"/>
        <v>0.40588235294117647</v>
      </c>
      <c r="K118" s="256">
        <v>0.3</v>
      </c>
      <c r="L118" s="256">
        <v>0.2</v>
      </c>
      <c r="M118" s="253">
        <f t="shared" si="37"/>
        <v>0.60882352941176465</v>
      </c>
      <c r="N118" s="253">
        <f t="shared" si="43"/>
        <v>0</v>
      </c>
    </row>
    <row r="119" spans="1:18" s="257" customFormat="1" ht="33.6" hidden="1" customHeight="1">
      <c r="A119" s="252"/>
      <c r="B119" s="252" t="s">
        <v>904</v>
      </c>
      <c r="C119" s="253">
        <v>34.5</v>
      </c>
      <c r="D119" s="254">
        <v>20</v>
      </c>
      <c r="E119" s="254">
        <v>0.2</v>
      </c>
      <c r="F119" s="254">
        <f t="shared" si="44"/>
        <v>100</v>
      </c>
      <c r="G119" s="254">
        <v>0.15</v>
      </c>
      <c r="H119" s="255">
        <v>3</v>
      </c>
      <c r="I119" s="254">
        <f>F119*0.85</f>
        <v>85</v>
      </c>
      <c r="J119" s="253">
        <f>C119/I119*3</f>
        <v>1.2176470588235295</v>
      </c>
      <c r="K119" s="256">
        <v>0.3</v>
      </c>
      <c r="L119" s="256">
        <v>0.2</v>
      </c>
      <c r="M119" s="253">
        <f t="shared" si="37"/>
        <v>1.8264705882352943</v>
      </c>
      <c r="N119" s="253">
        <f t="shared" si="43"/>
        <v>0</v>
      </c>
    </row>
    <row r="120" spans="1:18" s="257" customFormat="1" ht="31.2" hidden="1" customHeight="1">
      <c r="A120" s="252"/>
      <c r="B120" s="252" t="s">
        <v>1063</v>
      </c>
      <c r="C120" s="253">
        <v>7500</v>
      </c>
      <c r="D120" s="254">
        <v>1</v>
      </c>
      <c r="E120" s="254">
        <v>1</v>
      </c>
      <c r="F120" s="254">
        <f t="shared" si="44"/>
        <v>1</v>
      </c>
      <c r="G120" s="254"/>
      <c r="H120" s="255"/>
      <c r="I120" s="254">
        <f>F120</f>
        <v>1</v>
      </c>
      <c r="J120" s="253">
        <f>C120/I120</f>
        <v>7500</v>
      </c>
      <c r="K120" s="256"/>
      <c r="L120" s="256">
        <f>20%/12</f>
        <v>1.6666666666666666E-2</v>
      </c>
      <c r="M120" s="253">
        <f>(J120+J120*K120+J120*L120)-C120</f>
        <v>125</v>
      </c>
      <c r="N120" s="253">
        <f t="shared" si="43"/>
        <v>130</v>
      </c>
    </row>
    <row r="121" spans="1:18" s="322" customFormat="1" ht="57.6" hidden="1" customHeight="1">
      <c r="A121" s="318"/>
      <c r="B121" s="318" t="s">
        <v>1349</v>
      </c>
      <c r="C121" s="250">
        <v>314</v>
      </c>
      <c r="D121" s="319">
        <v>1</v>
      </c>
      <c r="E121" s="319">
        <v>1</v>
      </c>
      <c r="F121" s="319">
        <v>1</v>
      </c>
      <c r="G121" s="319"/>
      <c r="H121" s="320">
        <v>1</v>
      </c>
      <c r="I121" s="319">
        <v>1</v>
      </c>
      <c r="J121" s="250">
        <f>C121/D121*E121*F121*H121*I121</f>
        <v>314</v>
      </c>
      <c r="K121" s="321">
        <v>0.25</v>
      </c>
      <c r="L121" s="321">
        <v>0.2</v>
      </c>
      <c r="M121" s="250">
        <f t="shared" ref="M121" si="47">J121+J121*K121+J121*L121</f>
        <v>455.3</v>
      </c>
      <c r="N121" s="250">
        <f t="shared" ref="N121" si="48">ROUND(M121/10,0)*10</f>
        <v>460</v>
      </c>
    </row>
    <row r="122" spans="1:18" s="322" customFormat="1" ht="64.2" hidden="1" customHeight="1">
      <c r="A122" s="318"/>
      <c r="B122" s="318" t="s">
        <v>1350</v>
      </c>
      <c r="C122" s="250">
        <v>148</v>
      </c>
      <c r="D122" s="319">
        <v>1</v>
      </c>
      <c r="E122" s="319">
        <v>1</v>
      </c>
      <c r="F122" s="319">
        <v>1</v>
      </c>
      <c r="G122" s="319"/>
      <c r="H122" s="320">
        <v>1</v>
      </c>
      <c r="I122" s="319">
        <v>1</v>
      </c>
      <c r="J122" s="250">
        <f>C122/D122*E122*F122*H122*I122</f>
        <v>148</v>
      </c>
      <c r="K122" s="321">
        <v>0.5</v>
      </c>
      <c r="L122" s="321">
        <v>0.25</v>
      </c>
      <c r="M122" s="250">
        <f t="shared" ref="M122" si="49">J122+J122*K122+J122*L122</f>
        <v>259</v>
      </c>
      <c r="N122" s="250">
        <f t="shared" ref="N122" si="50">ROUND(M122/10,0)*10</f>
        <v>260</v>
      </c>
    </row>
    <row r="123" spans="1:18" s="257" customFormat="1" ht="64.2" hidden="1" customHeight="1">
      <c r="A123" s="252"/>
      <c r="B123" s="252" t="s">
        <v>1247</v>
      </c>
      <c r="C123" s="253">
        <v>281</v>
      </c>
      <c r="D123" s="254">
        <v>1</v>
      </c>
      <c r="E123" s="254">
        <v>1</v>
      </c>
      <c r="F123" s="254">
        <v>1</v>
      </c>
      <c r="G123" s="254"/>
      <c r="H123" s="255">
        <v>1</v>
      </c>
      <c r="I123" s="254">
        <v>1</v>
      </c>
      <c r="J123" s="253">
        <f>C123/D123*E123*F123*H123*I123</f>
        <v>281</v>
      </c>
      <c r="K123" s="256">
        <v>0.25</v>
      </c>
      <c r="L123" s="256">
        <v>0.1</v>
      </c>
      <c r="M123" s="253">
        <f t="shared" ref="M123:M157" si="51">J123+J123*K123+J123*L123</f>
        <v>379.35</v>
      </c>
      <c r="N123" s="253">
        <f t="shared" si="43"/>
        <v>380</v>
      </c>
    </row>
    <row r="124" spans="1:18" s="257" customFormat="1" ht="32.4" hidden="1" customHeight="1">
      <c r="A124" s="252"/>
      <c r="B124" s="252" t="s">
        <v>1288</v>
      </c>
      <c r="C124" s="253">
        <v>2315.9499999999998</v>
      </c>
      <c r="D124" s="254">
        <v>4</v>
      </c>
      <c r="E124" s="254">
        <v>0.15</v>
      </c>
      <c r="F124" s="260">
        <f>D124/E124</f>
        <v>26.666666666666668</v>
      </c>
      <c r="G124" s="256">
        <v>0.15</v>
      </c>
      <c r="H124" s="261" t="s">
        <v>844</v>
      </c>
      <c r="I124" s="260">
        <f>F124*0.7</f>
        <v>18.666666666666668</v>
      </c>
      <c r="J124" s="253">
        <f t="shared" ref="J124:J174" si="52">C124/I124</f>
        <v>124.06874999999998</v>
      </c>
      <c r="K124" s="256">
        <v>0.5</v>
      </c>
      <c r="L124" s="256">
        <v>0.2</v>
      </c>
      <c r="M124" s="253">
        <f t="shared" si="51"/>
        <v>210.91687499999998</v>
      </c>
      <c r="N124" s="253">
        <f t="shared" si="43"/>
        <v>210</v>
      </c>
      <c r="R124" s="262" t="s">
        <v>1289</v>
      </c>
    </row>
    <row r="125" spans="1:18" s="257" customFormat="1" ht="32.4" hidden="1" customHeight="1">
      <c r="A125" s="252"/>
      <c r="B125" s="252" t="s">
        <v>1161</v>
      </c>
      <c r="C125" s="253">
        <v>2725.45</v>
      </c>
      <c r="D125" s="254">
        <v>4</v>
      </c>
      <c r="E125" s="254">
        <v>0.15</v>
      </c>
      <c r="F125" s="260">
        <f>D125/E125</f>
        <v>26.666666666666668</v>
      </c>
      <c r="G125" s="256">
        <v>0.15</v>
      </c>
      <c r="H125" s="261" t="s">
        <v>844</v>
      </c>
      <c r="I125" s="260">
        <f>F125*0.7</f>
        <v>18.666666666666668</v>
      </c>
      <c r="J125" s="253">
        <f t="shared" si="52"/>
        <v>146.00624999999999</v>
      </c>
      <c r="K125" s="256">
        <v>0.5</v>
      </c>
      <c r="L125" s="256">
        <v>0.2</v>
      </c>
      <c r="M125" s="253">
        <f t="shared" si="51"/>
        <v>248.21062499999999</v>
      </c>
      <c r="N125" s="253">
        <f t="shared" si="43"/>
        <v>250</v>
      </c>
      <c r="R125" s="262"/>
    </row>
    <row r="126" spans="1:18" s="257" customFormat="1" ht="33.6" hidden="1" customHeight="1">
      <c r="A126" s="252"/>
      <c r="B126" s="252" t="s">
        <v>846</v>
      </c>
      <c r="C126" s="253">
        <v>3132</v>
      </c>
      <c r="D126" s="254">
        <v>3.6</v>
      </c>
      <c r="E126" s="254">
        <f>D126/20</f>
        <v>0.18</v>
      </c>
      <c r="F126" s="254">
        <v>7</v>
      </c>
      <c r="G126" s="254">
        <v>0.15</v>
      </c>
      <c r="H126" s="255" t="s">
        <v>844</v>
      </c>
      <c r="I126" s="254">
        <f>F126*0.85</f>
        <v>5.95</v>
      </c>
      <c r="J126" s="253">
        <f t="shared" si="52"/>
        <v>526.38655462184875</v>
      </c>
      <c r="K126" s="256">
        <v>0.5</v>
      </c>
      <c r="L126" s="256">
        <v>0.2</v>
      </c>
      <c r="M126" s="253">
        <f t="shared" si="51"/>
        <v>894.85714285714289</v>
      </c>
      <c r="N126" s="253">
        <f t="shared" si="43"/>
        <v>890</v>
      </c>
    </row>
    <row r="127" spans="1:18" s="257" customFormat="1" ht="32.4" hidden="1" customHeight="1">
      <c r="A127" s="252"/>
      <c r="B127" s="252" t="s">
        <v>843</v>
      </c>
      <c r="C127" s="253">
        <v>5154</v>
      </c>
      <c r="D127" s="254">
        <f>1.2*2</f>
        <v>2.4</v>
      </c>
      <c r="E127" s="254">
        <f>D127/20</f>
        <v>0.12</v>
      </c>
      <c r="F127" s="254">
        <f>D127/E127</f>
        <v>20</v>
      </c>
      <c r="G127" s="254">
        <v>0.15</v>
      </c>
      <c r="H127" s="255" t="s">
        <v>844</v>
      </c>
      <c r="I127" s="254">
        <f>F127*0.85</f>
        <v>17</v>
      </c>
      <c r="J127" s="253">
        <f t="shared" si="52"/>
        <v>303.1764705882353</v>
      </c>
      <c r="K127" s="256">
        <v>0.5</v>
      </c>
      <c r="L127" s="256">
        <v>0.2</v>
      </c>
      <c r="M127" s="253">
        <f t="shared" si="51"/>
        <v>515.4</v>
      </c>
      <c r="N127" s="253">
        <f t="shared" si="43"/>
        <v>520</v>
      </c>
    </row>
    <row r="128" spans="1:18" s="257" customFormat="1" ht="28.8" hidden="1" customHeight="1">
      <c r="A128" s="252"/>
      <c r="B128" s="252" t="s">
        <v>971</v>
      </c>
      <c r="C128" s="253">
        <v>7680</v>
      </c>
      <c r="D128" s="254">
        <v>80</v>
      </c>
      <c r="E128" s="254">
        <v>1</v>
      </c>
      <c r="F128" s="254">
        <v>1</v>
      </c>
      <c r="G128" s="254"/>
      <c r="H128" s="255"/>
      <c r="I128" s="254">
        <v>25</v>
      </c>
      <c r="J128" s="253">
        <f t="shared" si="52"/>
        <v>307.2</v>
      </c>
      <c r="K128" s="256"/>
      <c r="L128" s="256"/>
      <c r="M128" s="253">
        <f t="shared" si="51"/>
        <v>307.2</v>
      </c>
      <c r="N128" s="253">
        <f t="shared" si="43"/>
        <v>310</v>
      </c>
    </row>
    <row r="129" spans="1:18" s="257" customFormat="1" ht="43.2" hidden="1" customHeight="1">
      <c r="A129" s="252"/>
      <c r="B129" s="252" t="s">
        <v>1264</v>
      </c>
      <c r="C129" s="253">
        <v>7980</v>
      </c>
      <c r="D129" s="254">
        <v>100</v>
      </c>
      <c r="E129" s="254">
        <v>1</v>
      </c>
      <c r="F129" s="254">
        <f>D129/E129</f>
        <v>100</v>
      </c>
      <c r="G129" s="254"/>
      <c r="H129" s="255"/>
      <c r="I129" s="254">
        <f>F129</f>
        <v>100</v>
      </c>
      <c r="J129" s="253">
        <f t="shared" si="52"/>
        <v>79.8</v>
      </c>
      <c r="K129" s="256">
        <v>0.7</v>
      </c>
      <c r="L129" s="256">
        <v>0.25</v>
      </c>
      <c r="M129" s="253">
        <f t="shared" si="51"/>
        <v>155.60999999999999</v>
      </c>
      <c r="N129" s="253">
        <f t="shared" si="43"/>
        <v>160</v>
      </c>
    </row>
    <row r="130" spans="1:18" s="257" customFormat="1" ht="34.799999999999997" hidden="1" customHeight="1">
      <c r="A130" s="252"/>
      <c r="B130" s="252" t="s">
        <v>1088</v>
      </c>
      <c r="C130" s="253">
        <v>3749</v>
      </c>
      <c r="D130" s="254">
        <v>2</v>
      </c>
      <c r="E130" s="254">
        <v>0.5</v>
      </c>
      <c r="F130" s="254">
        <v>1</v>
      </c>
      <c r="G130" s="254"/>
      <c r="H130" s="255">
        <v>1</v>
      </c>
      <c r="I130" s="254">
        <v>1</v>
      </c>
      <c r="J130" s="253">
        <f t="shared" si="52"/>
        <v>3749</v>
      </c>
      <c r="K130" s="256">
        <v>0.15</v>
      </c>
      <c r="L130" s="256">
        <v>0.25</v>
      </c>
      <c r="M130" s="253">
        <f t="shared" si="51"/>
        <v>5248.6</v>
      </c>
      <c r="N130" s="253">
        <f t="shared" si="43"/>
        <v>5250</v>
      </c>
    </row>
    <row r="131" spans="1:18" s="257" customFormat="1" ht="22.2" hidden="1" customHeight="1">
      <c r="A131" s="252"/>
      <c r="B131" s="252" t="s">
        <v>1343</v>
      </c>
      <c r="C131" s="253">
        <v>5467</v>
      </c>
      <c r="D131" s="254">
        <v>300</v>
      </c>
      <c r="E131" s="254">
        <v>1</v>
      </c>
      <c r="F131" s="254">
        <f>D131/E131</f>
        <v>300</v>
      </c>
      <c r="G131" s="254"/>
      <c r="H131" s="255"/>
      <c r="I131" s="254">
        <f>F131</f>
        <v>300</v>
      </c>
      <c r="J131" s="253">
        <f t="shared" si="52"/>
        <v>18.223333333333333</v>
      </c>
      <c r="K131" s="256">
        <v>0.5</v>
      </c>
      <c r="L131" s="256">
        <v>0.2</v>
      </c>
      <c r="M131" s="253">
        <f t="shared" si="51"/>
        <v>30.979666666666667</v>
      </c>
      <c r="N131" s="253">
        <f t="shared" si="43"/>
        <v>30</v>
      </c>
    </row>
    <row r="132" spans="1:18" s="322" customFormat="1" ht="22.2" hidden="1" customHeight="1">
      <c r="A132" s="318"/>
      <c r="B132" s="318" t="s">
        <v>1344</v>
      </c>
      <c r="C132" s="250">
        <v>5467</v>
      </c>
      <c r="D132" s="319">
        <v>300</v>
      </c>
      <c r="E132" s="319">
        <v>1</v>
      </c>
      <c r="F132" s="319">
        <f>D132/E132</f>
        <v>300</v>
      </c>
      <c r="G132" s="319"/>
      <c r="H132" s="320"/>
      <c r="I132" s="319">
        <f>F132</f>
        <v>300</v>
      </c>
      <c r="J132" s="250">
        <f t="shared" ref="J132" si="53">C132/I132</f>
        <v>18.223333333333333</v>
      </c>
      <c r="K132" s="321">
        <v>0.5</v>
      </c>
      <c r="L132" s="321">
        <v>0.2</v>
      </c>
      <c r="M132" s="250">
        <f t="shared" ref="M132" si="54">J132+J132*K132+J132*L132</f>
        <v>30.979666666666667</v>
      </c>
      <c r="N132" s="250">
        <f t="shared" ref="N132" si="55">ROUND(M132/10,0)*10</f>
        <v>30</v>
      </c>
      <c r="R132" s="322" t="s">
        <v>1289</v>
      </c>
    </row>
    <row r="133" spans="1:18" s="257" customFormat="1" ht="22.8" hidden="1" customHeight="1">
      <c r="A133" s="252"/>
      <c r="B133" s="252" t="s">
        <v>951</v>
      </c>
      <c r="C133" s="253">
        <v>4867.5</v>
      </c>
      <c r="D133" s="254">
        <v>35</v>
      </c>
      <c r="E133" s="254">
        <f>35/2</f>
        <v>17.5</v>
      </c>
      <c r="F133" s="254">
        <v>3</v>
      </c>
      <c r="G133" s="254">
        <v>0.15</v>
      </c>
      <c r="H133" s="255"/>
      <c r="I133" s="254">
        <v>3</v>
      </c>
      <c r="J133" s="253">
        <f t="shared" si="52"/>
        <v>1622.5</v>
      </c>
      <c r="K133" s="256">
        <v>0.4</v>
      </c>
      <c r="L133" s="256">
        <v>0.2</v>
      </c>
      <c r="M133" s="253">
        <f t="shared" si="51"/>
        <v>2596</v>
      </c>
      <c r="N133" s="253">
        <f t="shared" si="43"/>
        <v>2600</v>
      </c>
    </row>
    <row r="134" spans="1:18" s="257" customFormat="1" ht="14.4" hidden="1" customHeight="1">
      <c r="A134" s="252"/>
      <c r="B134" s="252" t="s">
        <v>1027</v>
      </c>
      <c r="C134" s="253">
        <v>300</v>
      </c>
      <c r="D134" s="254">
        <v>180</v>
      </c>
      <c r="E134" s="254" t="s">
        <v>1028</v>
      </c>
      <c r="F134" s="254">
        <f>D134/2</f>
        <v>90</v>
      </c>
      <c r="G134" s="254"/>
      <c r="H134" s="255"/>
      <c r="I134" s="254">
        <f>F134</f>
        <v>90</v>
      </c>
      <c r="J134" s="253">
        <f t="shared" si="52"/>
        <v>3.3333333333333335</v>
      </c>
      <c r="K134" s="256">
        <v>0.3</v>
      </c>
      <c r="L134" s="256">
        <v>0.2</v>
      </c>
      <c r="M134" s="253">
        <f t="shared" si="51"/>
        <v>5.0000000000000009</v>
      </c>
      <c r="N134" s="253">
        <f t="shared" si="43"/>
        <v>10</v>
      </c>
    </row>
    <row r="135" spans="1:18" s="257" customFormat="1" ht="14.4" hidden="1" customHeight="1">
      <c r="A135" s="252"/>
      <c r="B135" s="252" t="s">
        <v>1029</v>
      </c>
      <c r="C135" s="253">
        <v>522</v>
      </c>
      <c r="D135" s="254">
        <v>180</v>
      </c>
      <c r="E135" s="254" t="s">
        <v>1028</v>
      </c>
      <c r="F135" s="254">
        <f>D135/2</f>
        <v>90</v>
      </c>
      <c r="G135" s="254"/>
      <c r="H135" s="255"/>
      <c r="I135" s="254">
        <f>F135</f>
        <v>90</v>
      </c>
      <c r="J135" s="253">
        <f t="shared" si="52"/>
        <v>5.8</v>
      </c>
      <c r="K135" s="256">
        <v>0.3</v>
      </c>
      <c r="L135" s="256">
        <v>0.2</v>
      </c>
      <c r="M135" s="253">
        <f t="shared" si="51"/>
        <v>8.6999999999999993</v>
      </c>
      <c r="N135" s="253">
        <f t="shared" si="43"/>
        <v>10</v>
      </c>
    </row>
    <row r="136" spans="1:18" s="257" customFormat="1" ht="14.4" hidden="1" customHeight="1">
      <c r="A136" s="252"/>
      <c r="B136" s="252" t="s">
        <v>1030</v>
      </c>
      <c r="C136" s="253">
        <v>250</v>
      </c>
      <c r="D136" s="254">
        <v>280</v>
      </c>
      <c r="E136" s="254" t="s">
        <v>1028</v>
      </c>
      <c r="F136" s="254">
        <f>D136/2</f>
        <v>140</v>
      </c>
      <c r="G136" s="254"/>
      <c r="H136" s="255"/>
      <c r="I136" s="254">
        <f>F136</f>
        <v>140</v>
      </c>
      <c r="J136" s="253">
        <f t="shared" si="52"/>
        <v>1.7857142857142858</v>
      </c>
      <c r="K136" s="256">
        <v>0.3</v>
      </c>
      <c r="L136" s="256">
        <v>0.2</v>
      </c>
      <c r="M136" s="253">
        <f t="shared" si="51"/>
        <v>2.6785714285714288</v>
      </c>
      <c r="N136" s="253">
        <f t="shared" si="43"/>
        <v>0</v>
      </c>
    </row>
    <row r="137" spans="1:18" s="322" customFormat="1" ht="21.6" hidden="1" customHeight="1">
      <c r="A137" s="318"/>
      <c r="B137" s="318" t="s">
        <v>1348</v>
      </c>
      <c r="C137" s="250">
        <v>1671</v>
      </c>
      <c r="D137" s="319">
        <v>244</v>
      </c>
      <c r="E137" s="319">
        <v>2</v>
      </c>
      <c r="F137" s="319">
        <f>D137/E137</f>
        <v>122</v>
      </c>
      <c r="G137" s="319">
        <v>0.15</v>
      </c>
      <c r="H137" s="320"/>
      <c r="I137" s="319">
        <f>F137*0.85</f>
        <v>103.7</v>
      </c>
      <c r="J137" s="250">
        <f t="shared" si="52"/>
        <v>16.113789778206364</v>
      </c>
      <c r="K137" s="321">
        <v>0.5</v>
      </c>
      <c r="L137" s="321">
        <v>0.25</v>
      </c>
      <c r="M137" s="250">
        <f t="shared" si="51"/>
        <v>28.199132111861136</v>
      </c>
      <c r="N137" s="250">
        <f t="shared" si="43"/>
        <v>30</v>
      </c>
    </row>
    <row r="138" spans="1:18" s="257" customFormat="1" ht="61.8" hidden="1" customHeight="1">
      <c r="A138" s="252"/>
      <c r="B138" s="252" t="s">
        <v>931</v>
      </c>
      <c r="C138" s="253">
        <v>2197</v>
      </c>
      <c r="D138" s="254">
        <v>40</v>
      </c>
      <c r="E138" s="254">
        <v>1</v>
      </c>
      <c r="F138" s="254">
        <f t="shared" ref="F138:F151" si="56">D138/E138</f>
        <v>40</v>
      </c>
      <c r="G138" s="254"/>
      <c r="H138" s="255">
        <v>1</v>
      </c>
      <c r="I138" s="254">
        <f>F138</f>
        <v>40</v>
      </c>
      <c r="J138" s="253">
        <f t="shared" si="52"/>
        <v>54.924999999999997</v>
      </c>
      <c r="K138" s="256"/>
      <c r="L138" s="256">
        <v>0.05</v>
      </c>
      <c r="M138" s="253">
        <f t="shared" si="51"/>
        <v>57.671250000000001</v>
      </c>
      <c r="N138" s="253">
        <f t="shared" si="43"/>
        <v>60</v>
      </c>
    </row>
    <row r="139" spans="1:18" s="257" customFormat="1" ht="27" hidden="1" customHeight="1">
      <c r="A139" s="252"/>
      <c r="B139" s="252" t="s">
        <v>856</v>
      </c>
      <c r="C139" s="253">
        <v>5358</v>
      </c>
      <c r="D139" s="254">
        <f>8*4</f>
        <v>32</v>
      </c>
      <c r="E139" s="254">
        <v>0.15</v>
      </c>
      <c r="F139" s="254">
        <f t="shared" si="56"/>
        <v>213.33333333333334</v>
      </c>
      <c r="G139" s="254">
        <v>0.15</v>
      </c>
      <c r="H139" s="255" t="s">
        <v>844</v>
      </c>
      <c r="I139" s="254">
        <f>F139*0.7</f>
        <v>149.33333333333334</v>
      </c>
      <c r="J139" s="253">
        <f t="shared" si="52"/>
        <v>35.879464285714285</v>
      </c>
      <c r="K139" s="256">
        <v>0.5</v>
      </c>
      <c r="L139" s="256">
        <v>0.2</v>
      </c>
      <c r="M139" s="253">
        <f t="shared" si="51"/>
        <v>60.995089285714286</v>
      </c>
      <c r="N139" s="253">
        <f t="shared" si="43"/>
        <v>60</v>
      </c>
    </row>
    <row r="140" spans="1:18" s="257" customFormat="1" ht="15" hidden="1" customHeight="1">
      <c r="A140" s="252"/>
      <c r="B140" s="252" t="s">
        <v>901</v>
      </c>
      <c r="C140" s="253">
        <v>2465</v>
      </c>
      <c r="D140" s="254">
        <v>24</v>
      </c>
      <c r="E140" s="254">
        <v>0.1</v>
      </c>
      <c r="F140" s="254">
        <f t="shared" si="56"/>
        <v>240</v>
      </c>
      <c r="G140" s="254"/>
      <c r="H140" s="255"/>
      <c r="I140" s="254">
        <f t="shared" ref="I140:I151" si="57">F140</f>
        <v>240</v>
      </c>
      <c r="J140" s="253">
        <f t="shared" si="52"/>
        <v>10.270833333333334</v>
      </c>
      <c r="K140" s="256">
        <v>0.3</v>
      </c>
      <c r="L140" s="256">
        <v>0.2</v>
      </c>
      <c r="M140" s="253">
        <f t="shared" si="51"/>
        <v>15.406250000000002</v>
      </c>
      <c r="N140" s="253">
        <f t="shared" si="43"/>
        <v>20</v>
      </c>
    </row>
    <row r="141" spans="1:18" s="257" customFormat="1" ht="42" hidden="1" customHeight="1">
      <c r="A141" s="252"/>
      <c r="B141" s="252" t="s">
        <v>1265</v>
      </c>
      <c r="C141" s="253">
        <v>3432</v>
      </c>
      <c r="D141" s="254">
        <v>50</v>
      </c>
      <c r="E141" s="254">
        <v>1</v>
      </c>
      <c r="F141" s="254">
        <f t="shared" si="56"/>
        <v>50</v>
      </c>
      <c r="G141" s="254"/>
      <c r="H141" s="255"/>
      <c r="I141" s="254">
        <f t="shared" si="57"/>
        <v>50</v>
      </c>
      <c r="J141" s="253">
        <f t="shared" si="52"/>
        <v>68.64</v>
      </c>
      <c r="K141" s="256">
        <v>0.7</v>
      </c>
      <c r="L141" s="256">
        <v>0.25</v>
      </c>
      <c r="M141" s="253">
        <f t="shared" si="51"/>
        <v>133.84799999999998</v>
      </c>
      <c r="N141" s="253">
        <f t="shared" si="43"/>
        <v>130</v>
      </c>
    </row>
    <row r="142" spans="1:18" s="257" customFormat="1" ht="14.4" hidden="1" customHeight="1">
      <c r="A142" s="252"/>
      <c r="B142" s="252" t="s">
        <v>910</v>
      </c>
      <c r="C142" s="253">
        <v>850</v>
      </c>
      <c r="D142" s="254">
        <v>50</v>
      </c>
      <c r="E142" s="254">
        <v>1</v>
      </c>
      <c r="F142" s="254">
        <f t="shared" si="56"/>
        <v>50</v>
      </c>
      <c r="G142" s="254"/>
      <c r="H142" s="255"/>
      <c r="I142" s="254">
        <f t="shared" si="57"/>
        <v>50</v>
      </c>
      <c r="J142" s="253">
        <f t="shared" si="52"/>
        <v>17</v>
      </c>
      <c r="K142" s="256">
        <v>0.5</v>
      </c>
      <c r="L142" s="256">
        <v>0.2</v>
      </c>
      <c r="M142" s="253">
        <f t="shared" si="51"/>
        <v>28.9</v>
      </c>
      <c r="N142" s="253">
        <f t="shared" si="43"/>
        <v>30</v>
      </c>
    </row>
    <row r="143" spans="1:18" s="257" customFormat="1" ht="19.8" hidden="1" customHeight="1">
      <c r="A143" s="252"/>
      <c r="B143" s="252" t="s">
        <v>911</v>
      </c>
      <c r="C143" s="253">
        <v>1600</v>
      </c>
      <c r="D143" s="254">
        <v>50</v>
      </c>
      <c r="E143" s="254">
        <v>1</v>
      </c>
      <c r="F143" s="254">
        <f t="shared" si="56"/>
        <v>50</v>
      </c>
      <c r="G143" s="254"/>
      <c r="H143" s="255"/>
      <c r="I143" s="254">
        <f t="shared" si="57"/>
        <v>50</v>
      </c>
      <c r="J143" s="253">
        <f t="shared" si="52"/>
        <v>32</v>
      </c>
      <c r="K143" s="256">
        <v>0.5</v>
      </c>
      <c r="L143" s="256">
        <v>0.2</v>
      </c>
      <c r="M143" s="253">
        <f t="shared" si="51"/>
        <v>54.4</v>
      </c>
      <c r="N143" s="253">
        <f t="shared" si="43"/>
        <v>50</v>
      </c>
    </row>
    <row r="144" spans="1:18" s="257" customFormat="1" ht="40.200000000000003" hidden="1" customHeight="1">
      <c r="A144" s="252"/>
      <c r="B144" s="252" t="s">
        <v>927</v>
      </c>
      <c r="C144" s="253">
        <v>3300</v>
      </c>
      <c r="D144" s="254">
        <v>1</v>
      </c>
      <c r="E144" s="254">
        <v>1</v>
      </c>
      <c r="F144" s="254">
        <f t="shared" si="56"/>
        <v>1</v>
      </c>
      <c r="G144" s="254"/>
      <c r="H144" s="255">
        <v>1</v>
      </c>
      <c r="I144" s="254">
        <f t="shared" si="57"/>
        <v>1</v>
      </c>
      <c r="J144" s="253">
        <f t="shared" si="52"/>
        <v>3300</v>
      </c>
      <c r="K144" s="256"/>
      <c r="L144" s="256">
        <v>0.05</v>
      </c>
      <c r="M144" s="253">
        <f t="shared" si="51"/>
        <v>3465</v>
      </c>
      <c r="N144" s="253">
        <f t="shared" ref="N144:N176" si="58">ROUND(M144/10,0)*10</f>
        <v>3470</v>
      </c>
    </row>
    <row r="145" spans="1:18" s="257" customFormat="1" ht="79.8" hidden="1" customHeight="1">
      <c r="A145" s="252"/>
      <c r="B145" s="252" t="s">
        <v>1301</v>
      </c>
      <c r="C145" s="253">
        <v>5171</v>
      </c>
      <c r="D145" s="254">
        <v>60</v>
      </c>
      <c r="E145" s="254">
        <v>7.5</v>
      </c>
      <c r="F145" s="254">
        <f t="shared" si="56"/>
        <v>8</v>
      </c>
      <c r="G145" s="254"/>
      <c r="H145" s="255"/>
      <c r="I145" s="254">
        <f t="shared" si="57"/>
        <v>8</v>
      </c>
      <c r="J145" s="253">
        <f>C145/I145</f>
        <v>646.375</v>
      </c>
      <c r="K145" s="256">
        <v>0.3</v>
      </c>
      <c r="L145" s="256">
        <v>0.25</v>
      </c>
      <c r="M145" s="253">
        <f t="shared" si="51"/>
        <v>1001.88125</v>
      </c>
      <c r="N145" s="253">
        <f t="shared" si="58"/>
        <v>1000</v>
      </c>
    </row>
    <row r="146" spans="1:18" s="257" customFormat="1" ht="40.200000000000003" hidden="1" customHeight="1">
      <c r="A146" s="252"/>
      <c r="B146" s="252" t="s">
        <v>926</v>
      </c>
      <c r="C146" s="253">
        <v>1980</v>
      </c>
      <c r="D146" s="254">
        <v>1</v>
      </c>
      <c r="E146" s="254">
        <v>1</v>
      </c>
      <c r="F146" s="254">
        <f t="shared" si="56"/>
        <v>1</v>
      </c>
      <c r="G146" s="254"/>
      <c r="H146" s="255">
        <v>1</v>
      </c>
      <c r="I146" s="254">
        <f t="shared" si="57"/>
        <v>1</v>
      </c>
      <c r="J146" s="253">
        <f t="shared" si="52"/>
        <v>1980</v>
      </c>
      <c r="K146" s="256"/>
      <c r="L146" s="256">
        <v>0.05</v>
      </c>
      <c r="M146" s="253">
        <f t="shared" si="51"/>
        <v>2079</v>
      </c>
      <c r="N146" s="253">
        <f t="shared" si="58"/>
        <v>2080</v>
      </c>
    </row>
    <row r="147" spans="1:18" s="257" customFormat="1" ht="40.200000000000003" hidden="1" customHeight="1">
      <c r="A147" s="252"/>
      <c r="B147" s="252" t="s">
        <v>928</v>
      </c>
      <c r="C147" s="253">
        <v>1254</v>
      </c>
      <c r="D147" s="254">
        <v>1</v>
      </c>
      <c r="E147" s="254">
        <v>1</v>
      </c>
      <c r="F147" s="254">
        <f t="shared" si="56"/>
        <v>1</v>
      </c>
      <c r="G147" s="254"/>
      <c r="H147" s="255">
        <v>1</v>
      </c>
      <c r="I147" s="254">
        <f t="shared" si="57"/>
        <v>1</v>
      </c>
      <c r="J147" s="253">
        <f t="shared" si="52"/>
        <v>1254</v>
      </c>
      <c r="K147" s="256"/>
      <c r="L147" s="256">
        <v>0.05</v>
      </c>
      <c r="M147" s="253">
        <f t="shared" si="51"/>
        <v>1316.7</v>
      </c>
      <c r="N147" s="253">
        <f t="shared" si="58"/>
        <v>1320</v>
      </c>
    </row>
    <row r="148" spans="1:18" s="257" customFormat="1" ht="40.200000000000003" hidden="1" customHeight="1">
      <c r="A148" s="252"/>
      <c r="B148" s="252" t="s">
        <v>929</v>
      </c>
      <c r="C148" s="253">
        <v>561</v>
      </c>
      <c r="D148" s="254">
        <v>1</v>
      </c>
      <c r="E148" s="254">
        <v>1</v>
      </c>
      <c r="F148" s="254">
        <f t="shared" si="56"/>
        <v>1</v>
      </c>
      <c r="G148" s="254"/>
      <c r="H148" s="255">
        <v>1</v>
      </c>
      <c r="I148" s="254">
        <f t="shared" si="57"/>
        <v>1</v>
      </c>
      <c r="J148" s="253">
        <f t="shared" si="52"/>
        <v>561</v>
      </c>
      <c r="K148" s="256"/>
      <c r="L148" s="256">
        <v>0.05</v>
      </c>
      <c r="M148" s="253">
        <f t="shared" si="51"/>
        <v>589.04999999999995</v>
      </c>
      <c r="N148" s="253">
        <f t="shared" si="58"/>
        <v>590</v>
      </c>
    </row>
    <row r="149" spans="1:18" s="257" customFormat="1" ht="46.2" hidden="1" customHeight="1">
      <c r="A149" s="252"/>
      <c r="B149" s="252" t="s">
        <v>1243</v>
      </c>
      <c r="C149" s="253">
        <v>5445</v>
      </c>
      <c r="D149" s="254">
        <v>1</v>
      </c>
      <c r="E149" s="254">
        <v>1</v>
      </c>
      <c r="F149" s="254">
        <f t="shared" si="56"/>
        <v>1</v>
      </c>
      <c r="G149" s="254"/>
      <c r="H149" s="255">
        <v>1</v>
      </c>
      <c r="I149" s="254">
        <f t="shared" si="57"/>
        <v>1</v>
      </c>
      <c r="J149" s="253">
        <f t="shared" si="52"/>
        <v>5445</v>
      </c>
      <c r="K149" s="256">
        <v>0.25</v>
      </c>
      <c r="L149" s="256">
        <v>0.1</v>
      </c>
      <c r="M149" s="253">
        <f t="shared" si="51"/>
        <v>7350.75</v>
      </c>
      <c r="N149" s="253">
        <f t="shared" si="58"/>
        <v>7350</v>
      </c>
    </row>
    <row r="150" spans="1:18" s="257" customFormat="1" ht="35.4" hidden="1" customHeight="1">
      <c r="A150" s="252"/>
      <c r="B150" s="252" t="s">
        <v>1261</v>
      </c>
      <c r="C150" s="253">
        <v>8700</v>
      </c>
      <c r="D150" s="254">
        <v>100</v>
      </c>
      <c r="E150" s="254">
        <v>1</v>
      </c>
      <c r="F150" s="254">
        <f t="shared" si="56"/>
        <v>100</v>
      </c>
      <c r="G150" s="254"/>
      <c r="H150" s="255"/>
      <c r="I150" s="254">
        <f t="shared" si="57"/>
        <v>100</v>
      </c>
      <c r="J150" s="253">
        <f t="shared" si="52"/>
        <v>87</v>
      </c>
      <c r="K150" s="256">
        <v>0.7</v>
      </c>
      <c r="L150" s="256">
        <v>0.25</v>
      </c>
      <c r="M150" s="253">
        <f t="shared" si="51"/>
        <v>169.65</v>
      </c>
      <c r="N150" s="253">
        <f t="shared" si="58"/>
        <v>170</v>
      </c>
    </row>
    <row r="151" spans="1:18" s="257" customFormat="1" ht="27.6" hidden="1" customHeight="1">
      <c r="A151" s="252"/>
      <c r="B151" s="252" t="s">
        <v>1031</v>
      </c>
      <c r="C151" s="253">
        <v>5040</v>
      </c>
      <c r="D151" s="254">
        <v>50</v>
      </c>
      <c r="E151" s="254">
        <v>1</v>
      </c>
      <c r="F151" s="254">
        <f t="shared" si="56"/>
        <v>50</v>
      </c>
      <c r="G151" s="254"/>
      <c r="H151" s="255"/>
      <c r="I151" s="254">
        <f t="shared" si="57"/>
        <v>50</v>
      </c>
      <c r="J151" s="253">
        <f t="shared" si="52"/>
        <v>100.8</v>
      </c>
      <c r="K151" s="256">
        <v>0.5</v>
      </c>
      <c r="L151" s="256">
        <v>0.2</v>
      </c>
      <c r="M151" s="253">
        <f t="shared" si="51"/>
        <v>171.35999999999999</v>
      </c>
      <c r="N151" s="253">
        <f t="shared" si="58"/>
        <v>170</v>
      </c>
    </row>
    <row r="152" spans="1:18" s="257" customFormat="1" ht="16.8" hidden="1" customHeight="1">
      <c r="A152" s="252"/>
      <c r="B152" s="252" t="s">
        <v>918</v>
      </c>
      <c r="C152" s="253">
        <v>580</v>
      </c>
      <c r="D152" s="254">
        <v>10</v>
      </c>
      <c r="E152" s="254">
        <v>1</v>
      </c>
      <c r="F152" s="254">
        <v>10</v>
      </c>
      <c r="G152" s="254"/>
      <c r="H152" s="255"/>
      <c r="I152" s="254">
        <v>10</v>
      </c>
      <c r="J152" s="253">
        <f t="shared" si="52"/>
        <v>58</v>
      </c>
      <c r="K152" s="256">
        <v>0.5</v>
      </c>
      <c r="L152" s="256">
        <v>0.2</v>
      </c>
      <c r="M152" s="253">
        <f t="shared" si="51"/>
        <v>98.6</v>
      </c>
      <c r="N152" s="253">
        <f t="shared" si="58"/>
        <v>100</v>
      </c>
    </row>
    <row r="153" spans="1:18" s="257" customFormat="1" ht="24.6" hidden="1" customHeight="1">
      <c r="A153" s="252"/>
      <c r="B153" s="252" t="s">
        <v>920</v>
      </c>
      <c r="C153" s="253">
        <v>630</v>
      </c>
      <c r="D153" s="254">
        <v>12</v>
      </c>
      <c r="E153" s="254">
        <v>1</v>
      </c>
      <c r="F153" s="254">
        <v>10</v>
      </c>
      <c r="G153" s="254"/>
      <c r="H153" s="255"/>
      <c r="I153" s="254">
        <v>10</v>
      </c>
      <c r="J153" s="253">
        <f t="shared" si="52"/>
        <v>63</v>
      </c>
      <c r="K153" s="256">
        <v>0.5</v>
      </c>
      <c r="L153" s="256">
        <v>0.2</v>
      </c>
      <c r="M153" s="253">
        <f t="shared" si="51"/>
        <v>107.1</v>
      </c>
      <c r="N153" s="253">
        <f t="shared" si="58"/>
        <v>110</v>
      </c>
    </row>
    <row r="154" spans="1:18" s="257" customFormat="1" ht="24.6" hidden="1" customHeight="1">
      <c r="A154" s="252"/>
      <c r="B154" s="252" t="s">
        <v>921</v>
      </c>
      <c r="C154" s="253">
        <v>460</v>
      </c>
      <c r="D154" s="254">
        <v>6</v>
      </c>
      <c r="E154" s="254">
        <v>1</v>
      </c>
      <c r="F154" s="254">
        <v>10</v>
      </c>
      <c r="G154" s="254"/>
      <c r="H154" s="255"/>
      <c r="I154" s="254">
        <v>10</v>
      </c>
      <c r="J154" s="253">
        <f t="shared" si="52"/>
        <v>46</v>
      </c>
      <c r="K154" s="256">
        <v>0.5</v>
      </c>
      <c r="L154" s="256">
        <v>0.2</v>
      </c>
      <c r="M154" s="253">
        <f t="shared" si="51"/>
        <v>78.2</v>
      </c>
      <c r="N154" s="253">
        <f t="shared" si="58"/>
        <v>80</v>
      </c>
    </row>
    <row r="155" spans="1:18" s="257" customFormat="1" ht="14.4" hidden="1" customHeight="1">
      <c r="A155" s="252"/>
      <c r="B155" s="252" t="s">
        <v>916</v>
      </c>
      <c r="C155" s="253">
        <v>483.53</v>
      </c>
      <c r="D155" s="254">
        <v>6</v>
      </c>
      <c r="E155" s="254">
        <v>1</v>
      </c>
      <c r="F155" s="254">
        <v>6</v>
      </c>
      <c r="G155" s="254"/>
      <c r="H155" s="255"/>
      <c r="I155" s="254">
        <v>6</v>
      </c>
      <c r="J155" s="253">
        <f t="shared" si="52"/>
        <v>80.588333333333324</v>
      </c>
      <c r="K155" s="256">
        <v>0.5</v>
      </c>
      <c r="L155" s="256">
        <v>0.2</v>
      </c>
      <c r="M155" s="253">
        <f t="shared" si="51"/>
        <v>137.00016666666664</v>
      </c>
      <c r="N155" s="253">
        <f t="shared" si="58"/>
        <v>140</v>
      </c>
    </row>
    <row r="156" spans="1:18" s="257" customFormat="1" ht="14.4" hidden="1" customHeight="1">
      <c r="A156" s="252"/>
      <c r="B156" s="252" t="s">
        <v>915</v>
      </c>
      <c r="C156" s="253">
        <v>531</v>
      </c>
      <c r="D156" s="254">
        <v>10</v>
      </c>
      <c r="E156" s="254">
        <v>1</v>
      </c>
      <c r="F156" s="254">
        <v>10</v>
      </c>
      <c r="G156" s="254"/>
      <c r="H156" s="255"/>
      <c r="I156" s="254">
        <v>10</v>
      </c>
      <c r="J156" s="253">
        <f t="shared" si="52"/>
        <v>53.1</v>
      </c>
      <c r="K156" s="256">
        <v>0.5</v>
      </c>
      <c r="L156" s="256">
        <v>0.2</v>
      </c>
      <c r="M156" s="253">
        <f t="shared" si="51"/>
        <v>90.27000000000001</v>
      </c>
      <c r="N156" s="253">
        <f t="shared" si="58"/>
        <v>90</v>
      </c>
    </row>
    <row r="157" spans="1:18" s="257" customFormat="1" ht="24.6" hidden="1" customHeight="1">
      <c r="A157" s="252"/>
      <c r="B157" s="252" t="s">
        <v>972</v>
      </c>
      <c r="C157" s="253">
        <v>1066</v>
      </c>
      <c r="D157" s="254">
        <v>1000</v>
      </c>
      <c r="E157" s="254">
        <v>1</v>
      </c>
      <c r="F157" s="254">
        <f>D157/E157</f>
        <v>1000</v>
      </c>
      <c r="G157" s="254"/>
      <c r="H157" s="255"/>
      <c r="I157" s="254">
        <f>F157</f>
        <v>1000</v>
      </c>
      <c r="J157" s="253">
        <f t="shared" si="52"/>
        <v>1.0660000000000001</v>
      </c>
      <c r="K157" s="256">
        <v>0.5</v>
      </c>
      <c r="L157" s="256">
        <v>0.2</v>
      </c>
      <c r="M157" s="253">
        <f t="shared" si="51"/>
        <v>1.8122000000000003</v>
      </c>
      <c r="N157" s="253">
        <f t="shared" si="58"/>
        <v>0</v>
      </c>
    </row>
    <row r="158" spans="1:18" s="257" customFormat="1" ht="14.4" hidden="1" customHeight="1">
      <c r="A158" s="252"/>
      <c r="B158" s="252" t="s">
        <v>922</v>
      </c>
      <c r="C158" s="253">
        <v>1143</v>
      </c>
      <c r="D158" s="254">
        <v>6</v>
      </c>
      <c r="E158" s="254">
        <v>1</v>
      </c>
      <c r="F158" s="254">
        <v>6</v>
      </c>
      <c r="G158" s="254"/>
      <c r="H158" s="255"/>
      <c r="I158" s="254">
        <v>6</v>
      </c>
      <c r="J158" s="253">
        <f t="shared" si="52"/>
        <v>190.5</v>
      </c>
      <c r="K158" s="256">
        <v>0.5</v>
      </c>
      <c r="L158" s="256">
        <v>0.2</v>
      </c>
      <c r="M158" s="253">
        <f t="shared" ref="M158:M174" si="59">J158+J158*K158+J158*L158</f>
        <v>323.85000000000002</v>
      </c>
      <c r="N158" s="253">
        <f t="shared" si="58"/>
        <v>320</v>
      </c>
    </row>
    <row r="159" spans="1:18" s="257" customFormat="1" ht="14.4" hidden="1" customHeight="1">
      <c r="A159" s="252"/>
      <c r="B159" s="252" t="s">
        <v>923</v>
      </c>
      <c r="C159" s="253">
        <v>1461</v>
      </c>
      <c r="D159" s="254">
        <v>6</v>
      </c>
      <c r="E159" s="254">
        <v>1</v>
      </c>
      <c r="F159" s="254">
        <v>6</v>
      </c>
      <c r="G159" s="254"/>
      <c r="H159" s="255"/>
      <c r="I159" s="254">
        <v>6</v>
      </c>
      <c r="J159" s="253">
        <f t="shared" si="52"/>
        <v>243.5</v>
      </c>
      <c r="K159" s="256">
        <v>0.5</v>
      </c>
      <c r="L159" s="256">
        <v>0.2</v>
      </c>
      <c r="M159" s="253">
        <f t="shared" si="59"/>
        <v>413.95</v>
      </c>
      <c r="N159" s="253">
        <f t="shared" si="58"/>
        <v>410</v>
      </c>
      <c r="O159" s="257" t="s">
        <v>1163</v>
      </c>
      <c r="P159" s="257">
        <f>'пр1_ПРАЙС_09.11.2023 '!D136</f>
        <v>1840</v>
      </c>
      <c r="Q159" s="257" t="s">
        <v>1164</v>
      </c>
      <c r="R159" s="257">
        <f>N159+P159</f>
        <v>2250</v>
      </c>
    </row>
    <row r="160" spans="1:18" s="257" customFormat="1" ht="36.6" hidden="1" customHeight="1">
      <c r="A160" s="252"/>
      <c r="B160" s="252" t="s">
        <v>859</v>
      </c>
      <c r="C160" s="253">
        <v>6850</v>
      </c>
      <c r="D160" s="254">
        <v>14</v>
      </c>
      <c r="E160" s="254">
        <v>0.15</v>
      </c>
      <c r="F160" s="254">
        <f t="shared" ref="F160:F198" si="60">D160/E160</f>
        <v>93.333333333333343</v>
      </c>
      <c r="G160" s="254"/>
      <c r="H160" s="255"/>
      <c r="I160" s="254">
        <f t="shared" ref="I160:I168" si="61">F160</f>
        <v>93.333333333333343</v>
      </c>
      <c r="J160" s="253">
        <f t="shared" si="52"/>
        <v>73.392857142857139</v>
      </c>
      <c r="K160" s="256">
        <v>0.4</v>
      </c>
      <c r="L160" s="256">
        <v>0.2</v>
      </c>
      <c r="M160" s="253">
        <f t="shared" si="59"/>
        <v>117.42857142857143</v>
      </c>
      <c r="N160" s="253">
        <f t="shared" si="58"/>
        <v>120</v>
      </c>
    </row>
    <row r="161" spans="1:14" s="257" customFormat="1" ht="24.6" hidden="1" customHeight="1">
      <c r="A161" s="252"/>
      <c r="B161" s="252" t="s">
        <v>858</v>
      </c>
      <c r="C161" s="253">
        <v>740</v>
      </c>
      <c r="D161" s="254">
        <v>2</v>
      </c>
      <c r="E161" s="254">
        <v>0.15</v>
      </c>
      <c r="F161" s="254">
        <f t="shared" si="60"/>
        <v>13.333333333333334</v>
      </c>
      <c r="G161" s="254"/>
      <c r="H161" s="255"/>
      <c r="I161" s="254">
        <f t="shared" si="61"/>
        <v>13.333333333333334</v>
      </c>
      <c r="J161" s="253">
        <f t="shared" si="52"/>
        <v>55.5</v>
      </c>
      <c r="K161" s="256">
        <v>0.4</v>
      </c>
      <c r="L161" s="256">
        <v>0.2</v>
      </c>
      <c r="M161" s="253">
        <f t="shared" si="59"/>
        <v>88.800000000000011</v>
      </c>
      <c r="N161" s="253">
        <f t="shared" si="58"/>
        <v>90</v>
      </c>
    </row>
    <row r="162" spans="1:14" s="257" customFormat="1" ht="32.4" hidden="1" customHeight="1">
      <c r="A162" s="252"/>
      <c r="B162" s="252" t="s">
        <v>857</v>
      </c>
      <c r="C162" s="253">
        <v>1069</v>
      </c>
      <c r="D162" s="254">
        <v>4</v>
      </c>
      <c r="E162" s="254">
        <v>0.15</v>
      </c>
      <c r="F162" s="254">
        <f t="shared" si="60"/>
        <v>26.666666666666668</v>
      </c>
      <c r="G162" s="254"/>
      <c r="H162" s="255"/>
      <c r="I162" s="254">
        <f t="shared" si="61"/>
        <v>26.666666666666668</v>
      </c>
      <c r="J162" s="253">
        <f t="shared" si="52"/>
        <v>40.087499999999999</v>
      </c>
      <c r="K162" s="256">
        <v>0.4</v>
      </c>
      <c r="L162" s="256">
        <v>0.2</v>
      </c>
      <c r="M162" s="253">
        <f t="shared" si="59"/>
        <v>64.14</v>
      </c>
      <c r="N162" s="253">
        <f t="shared" si="58"/>
        <v>60</v>
      </c>
    </row>
    <row r="163" spans="1:14" s="257" customFormat="1" ht="14.4" hidden="1" customHeight="1">
      <c r="A163" s="252"/>
      <c r="B163" s="252" t="s">
        <v>1049</v>
      </c>
      <c r="C163" s="253">
        <v>1947</v>
      </c>
      <c r="D163" s="254">
        <v>1</v>
      </c>
      <c r="E163" s="254">
        <v>1</v>
      </c>
      <c r="F163" s="254">
        <f t="shared" si="60"/>
        <v>1</v>
      </c>
      <c r="G163" s="254"/>
      <c r="H163" s="255"/>
      <c r="I163" s="254">
        <f t="shared" si="61"/>
        <v>1</v>
      </c>
      <c r="J163" s="253">
        <f t="shared" si="52"/>
        <v>1947</v>
      </c>
      <c r="K163" s="256"/>
      <c r="L163" s="256">
        <v>0.2</v>
      </c>
      <c r="M163" s="253">
        <f t="shared" si="59"/>
        <v>2336.4</v>
      </c>
      <c r="N163" s="253">
        <f t="shared" si="58"/>
        <v>2340</v>
      </c>
    </row>
    <row r="164" spans="1:14" s="257" customFormat="1" ht="14.4" hidden="1" customHeight="1">
      <c r="A164" s="252"/>
      <c r="B164" s="252" t="s">
        <v>973</v>
      </c>
      <c r="C164" s="253">
        <v>2960</v>
      </c>
      <c r="D164" s="254">
        <v>50</v>
      </c>
      <c r="E164" s="254">
        <v>1</v>
      </c>
      <c r="F164" s="254">
        <f t="shared" si="60"/>
        <v>50</v>
      </c>
      <c r="G164" s="254"/>
      <c r="H164" s="255"/>
      <c r="I164" s="254">
        <f t="shared" si="61"/>
        <v>50</v>
      </c>
      <c r="J164" s="253">
        <f t="shared" si="52"/>
        <v>59.2</v>
      </c>
      <c r="K164" s="256">
        <v>0.5</v>
      </c>
      <c r="L164" s="256">
        <v>0.2</v>
      </c>
      <c r="M164" s="253">
        <f t="shared" si="59"/>
        <v>100.64000000000001</v>
      </c>
      <c r="N164" s="253">
        <f t="shared" si="58"/>
        <v>100</v>
      </c>
    </row>
    <row r="165" spans="1:14" s="257" customFormat="1" ht="14.4" hidden="1" customHeight="1">
      <c r="A165" s="252"/>
      <c r="B165" s="252" t="s">
        <v>1032</v>
      </c>
      <c r="C165" s="253">
        <v>3260</v>
      </c>
      <c r="D165" s="254">
        <v>50</v>
      </c>
      <c r="E165" s="254">
        <v>1</v>
      </c>
      <c r="F165" s="254">
        <f t="shared" si="60"/>
        <v>50</v>
      </c>
      <c r="G165" s="254"/>
      <c r="H165" s="255"/>
      <c r="I165" s="254">
        <f t="shared" si="61"/>
        <v>50</v>
      </c>
      <c r="J165" s="253">
        <f t="shared" si="52"/>
        <v>65.2</v>
      </c>
      <c r="K165" s="256">
        <v>0.5</v>
      </c>
      <c r="L165" s="256">
        <v>0.2</v>
      </c>
      <c r="M165" s="253">
        <f t="shared" si="59"/>
        <v>110.84000000000002</v>
      </c>
      <c r="N165" s="253">
        <f t="shared" si="58"/>
        <v>110</v>
      </c>
    </row>
    <row r="166" spans="1:14" s="257" customFormat="1" ht="26.4" hidden="1" customHeight="1">
      <c r="A166" s="252"/>
      <c r="B166" s="252" t="s">
        <v>1033</v>
      </c>
      <c r="C166" s="253">
        <v>4630</v>
      </c>
      <c r="D166" s="254">
        <v>50</v>
      </c>
      <c r="E166" s="254">
        <v>1</v>
      </c>
      <c r="F166" s="254">
        <f t="shared" si="60"/>
        <v>50</v>
      </c>
      <c r="G166" s="254"/>
      <c r="H166" s="255"/>
      <c r="I166" s="254">
        <f t="shared" si="61"/>
        <v>50</v>
      </c>
      <c r="J166" s="253">
        <f t="shared" si="52"/>
        <v>92.6</v>
      </c>
      <c r="K166" s="256">
        <v>0.5</v>
      </c>
      <c r="L166" s="256">
        <v>0.2</v>
      </c>
      <c r="M166" s="253">
        <f t="shared" si="59"/>
        <v>157.41999999999999</v>
      </c>
      <c r="N166" s="253">
        <f t="shared" si="58"/>
        <v>160</v>
      </c>
    </row>
    <row r="167" spans="1:14" s="257" customFormat="1" ht="33" hidden="1" customHeight="1">
      <c r="A167" s="252"/>
      <c r="B167" s="252" t="s">
        <v>1034</v>
      </c>
      <c r="C167" s="253">
        <v>10800</v>
      </c>
      <c r="D167" s="254">
        <v>100</v>
      </c>
      <c r="E167" s="254">
        <v>1</v>
      </c>
      <c r="F167" s="254">
        <f t="shared" si="60"/>
        <v>100</v>
      </c>
      <c r="G167" s="254"/>
      <c r="H167" s="255"/>
      <c r="I167" s="254">
        <f t="shared" si="61"/>
        <v>100</v>
      </c>
      <c r="J167" s="253">
        <f t="shared" si="52"/>
        <v>108</v>
      </c>
      <c r="K167" s="256">
        <v>0.5</v>
      </c>
      <c r="L167" s="256">
        <v>0.2</v>
      </c>
      <c r="M167" s="253">
        <f t="shared" si="59"/>
        <v>183.6</v>
      </c>
      <c r="N167" s="253">
        <f t="shared" si="58"/>
        <v>180</v>
      </c>
    </row>
    <row r="168" spans="1:14" s="257" customFormat="1" ht="14.4" hidden="1" customHeight="1">
      <c r="A168" s="252"/>
      <c r="B168" s="252" t="s">
        <v>913</v>
      </c>
      <c r="C168" s="253">
        <v>6100</v>
      </c>
      <c r="D168" s="254">
        <v>100</v>
      </c>
      <c r="E168" s="254">
        <v>1</v>
      </c>
      <c r="F168" s="254">
        <f t="shared" si="60"/>
        <v>100</v>
      </c>
      <c r="G168" s="254"/>
      <c r="H168" s="255"/>
      <c r="I168" s="254">
        <f t="shared" si="61"/>
        <v>100</v>
      </c>
      <c r="J168" s="253">
        <f t="shared" si="52"/>
        <v>61</v>
      </c>
      <c r="K168" s="256">
        <v>0.5</v>
      </c>
      <c r="L168" s="256">
        <v>0.2</v>
      </c>
      <c r="M168" s="253">
        <f t="shared" si="59"/>
        <v>103.7</v>
      </c>
      <c r="N168" s="253">
        <f t="shared" si="58"/>
        <v>100</v>
      </c>
    </row>
    <row r="169" spans="1:14" s="257" customFormat="1" ht="14.4" hidden="1" customHeight="1">
      <c r="A169" s="252"/>
      <c r="B169" s="252" t="s">
        <v>1060</v>
      </c>
      <c r="C169" s="253">
        <f>1500+800</f>
        <v>2300</v>
      </c>
      <c r="D169" s="254">
        <f>500+800</f>
        <v>1300</v>
      </c>
      <c r="E169" s="254">
        <v>25</v>
      </c>
      <c r="F169" s="254">
        <f t="shared" si="60"/>
        <v>52</v>
      </c>
      <c r="G169" s="254">
        <v>0.15</v>
      </c>
      <c r="H169" s="255" t="s">
        <v>1059</v>
      </c>
      <c r="I169" s="254">
        <f>F169*0.7</f>
        <v>36.4</v>
      </c>
      <c r="J169" s="253">
        <f t="shared" si="52"/>
        <v>63.18681318681319</v>
      </c>
      <c r="K169" s="256">
        <v>0.5</v>
      </c>
      <c r="L169" s="256">
        <v>0.2</v>
      </c>
      <c r="M169" s="253">
        <f t="shared" si="59"/>
        <v>107.41758241758242</v>
      </c>
      <c r="N169" s="253">
        <f t="shared" si="58"/>
        <v>110</v>
      </c>
    </row>
    <row r="170" spans="1:14" s="257" customFormat="1" ht="14.4" hidden="1" customHeight="1">
      <c r="A170" s="252"/>
      <c r="B170" s="252" t="s">
        <v>854</v>
      </c>
      <c r="C170" s="253">
        <v>8490</v>
      </c>
      <c r="D170" s="254">
        <v>32</v>
      </c>
      <c r="E170" s="254">
        <v>0.15</v>
      </c>
      <c r="F170" s="254">
        <f t="shared" si="60"/>
        <v>213.33333333333334</v>
      </c>
      <c r="G170" s="254">
        <v>0.15</v>
      </c>
      <c r="H170" s="255" t="s">
        <v>844</v>
      </c>
      <c r="I170" s="254">
        <f>F170*0.85</f>
        <v>181.33333333333334</v>
      </c>
      <c r="J170" s="253">
        <f t="shared" si="52"/>
        <v>46.819852941176471</v>
      </c>
      <c r="K170" s="256">
        <v>0.5</v>
      </c>
      <c r="L170" s="256">
        <v>0.2</v>
      </c>
      <c r="M170" s="253">
        <f t="shared" si="59"/>
        <v>79.59375</v>
      </c>
      <c r="N170" s="253">
        <f t="shared" si="58"/>
        <v>80</v>
      </c>
    </row>
    <row r="171" spans="1:14" s="257" customFormat="1" ht="14.4" hidden="1" customHeight="1">
      <c r="A171" s="252"/>
      <c r="B171" s="252" t="s">
        <v>852</v>
      </c>
      <c r="C171" s="253">
        <v>6800</v>
      </c>
      <c r="D171" s="254">
        <v>32</v>
      </c>
      <c r="E171" s="254">
        <v>0.15</v>
      </c>
      <c r="F171" s="254">
        <f t="shared" si="60"/>
        <v>213.33333333333334</v>
      </c>
      <c r="G171" s="254">
        <v>0.15</v>
      </c>
      <c r="H171" s="255" t="s">
        <v>844</v>
      </c>
      <c r="I171" s="254">
        <f>F171*0.85</f>
        <v>181.33333333333334</v>
      </c>
      <c r="J171" s="253">
        <f t="shared" si="52"/>
        <v>37.5</v>
      </c>
      <c r="K171" s="256">
        <v>0.5</v>
      </c>
      <c r="L171" s="256">
        <v>0.2</v>
      </c>
      <c r="M171" s="253">
        <f t="shared" si="59"/>
        <v>63.75</v>
      </c>
      <c r="N171" s="253">
        <f t="shared" si="58"/>
        <v>60</v>
      </c>
    </row>
    <row r="172" spans="1:14" s="257" customFormat="1" ht="14.4" hidden="1" customHeight="1">
      <c r="A172" s="252"/>
      <c r="B172" s="252" t="s">
        <v>848</v>
      </c>
      <c r="C172" s="253">
        <v>15500</v>
      </c>
      <c r="D172" s="254">
        <v>32</v>
      </c>
      <c r="E172" s="254">
        <v>0.15</v>
      </c>
      <c r="F172" s="254">
        <f t="shared" si="60"/>
        <v>213.33333333333334</v>
      </c>
      <c r="G172" s="254">
        <v>0.15</v>
      </c>
      <c r="H172" s="255" t="s">
        <v>844</v>
      </c>
      <c r="I172" s="254">
        <f>F172*0.85</f>
        <v>181.33333333333334</v>
      </c>
      <c r="J172" s="253">
        <f t="shared" si="52"/>
        <v>85.47794117647058</v>
      </c>
      <c r="K172" s="256">
        <v>0.5</v>
      </c>
      <c r="L172" s="256">
        <v>0.2</v>
      </c>
      <c r="M172" s="253">
        <f t="shared" si="59"/>
        <v>145.31249999999997</v>
      </c>
      <c r="N172" s="253">
        <f t="shared" si="58"/>
        <v>150</v>
      </c>
    </row>
    <row r="173" spans="1:14" s="257" customFormat="1" ht="14.4" hidden="1" customHeight="1">
      <c r="A173" s="252"/>
      <c r="B173" s="252" t="s">
        <v>853</v>
      </c>
      <c r="C173" s="253">
        <v>8525</v>
      </c>
      <c r="D173" s="254">
        <v>32</v>
      </c>
      <c r="E173" s="254">
        <v>0.15</v>
      </c>
      <c r="F173" s="254">
        <f t="shared" si="60"/>
        <v>213.33333333333334</v>
      </c>
      <c r="G173" s="254">
        <v>0.15</v>
      </c>
      <c r="H173" s="255" t="s">
        <v>844</v>
      </c>
      <c r="I173" s="254">
        <f>F173*0.85</f>
        <v>181.33333333333334</v>
      </c>
      <c r="J173" s="253">
        <f t="shared" si="52"/>
        <v>47.012867647058819</v>
      </c>
      <c r="K173" s="256">
        <v>0.5</v>
      </c>
      <c r="L173" s="256">
        <v>0.2</v>
      </c>
      <c r="M173" s="253">
        <f t="shared" si="59"/>
        <v>79.921875</v>
      </c>
      <c r="N173" s="253">
        <f t="shared" si="58"/>
        <v>80</v>
      </c>
    </row>
    <row r="174" spans="1:14" s="257" customFormat="1" ht="14.4" hidden="1" customHeight="1">
      <c r="A174" s="252"/>
      <c r="B174" s="252" t="s">
        <v>847</v>
      </c>
      <c r="C174" s="253">
        <v>15285</v>
      </c>
      <c r="D174" s="254">
        <v>32</v>
      </c>
      <c r="E174" s="254">
        <v>0.15</v>
      </c>
      <c r="F174" s="254">
        <f t="shared" si="60"/>
        <v>213.33333333333334</v>
      </c>
      <c r="G174" s="254">
        <v>0.15</v>
      </c>
      <c r="H174" s="255" t="s">
        <v>844</v>
      </c>
      <c r="I174" s="254">
        <f>F174*0.85</f>
        <v>181.33333333333334</v>
      </c>
      <c r="J174" s="253">
        <f t="shared" si="52"/>
        <v>84.292279411764696</v>
      </c>
      <c r="K174" s="256">
        <v>0.5</v>
      </c>
      <c r="L174" s="256">
        <v>0.2</v>
      </c>
      <c r="M174" s="253">
        <f t="shared" si="59"/>
        <v>143.29687499999997</v>
      </c>
      <c r="N174" s="253">
        <f t="shared" si="58"/>
        <v>140</v>
      </c>
    </row>
    <row r="175" spans="1:14" s="257" customFormat="1" ht="14.4" hidden="1" customHeight="1">
      <c r="A175" s="252"/>
      <c r="B175" s="252" t="s">
        <v>855</v>
      </c>
      <c r="C175" s="253"/>
      <c r="D175" s="254">
        <f>12*4</f>
        <v>48</v>
      </c>
      <c r="E175" s="254">
        <v>0.15</v>
      </c>
      <c r="F175" s="254">
        <f t="shared" si="60"/>
        <v>320</v>
      </c>
      <c r="G175" s="254"/>
      <c r="H175" s="255"/>
      <c r="I175" s="254"/>
      <c r="J175" s="253"/>
      <c r="K175" s="256"/>
      <c r="L175" s="256"/>
      <c r="M175" s="253"/>
      <c r="N175" s="253">
        <f t="shared" si="58"/>
        <v>0</v>
      </c>
    </row>
    <row r="176" spans="1:14" s="257" customFormat="1" ht="14.4" hidden="1" customHeight="1">
      <c r="A176" s="252"/>
      <c r="B176" s="252" t="s">
        <v>862</v>
      </c>
      <c r="C176" s="253">
        <v>2700</v>
      </c>
      <c r="D176" s="254">
        <v>2</v>
      </c>
      <c r="E176" s="254">
        <v>0.15</v>
      </c>
      <c r="F176" s="254">
        <f t="shared" si="60"/>
        <v>13.333333333333334</v>
      </c>
      <c r="G176" s="254"/>
      <c r="H176" s="255"/>
      <c r="I176" s="254">
        <f t="shared" ref="I176:I185" si="62">F176</f>
        <v>13.333333333333334</v>
      </c>
      <c r="J176" s="253">
        <f t="shared" ref="J176:J225" si="63">C176/I176</f>
        <v>202.5</v>
      </c>
      <c r="K176" s="256">
        <v>0.4</v>
      </c>
      <c r="L176" s="256">
        <v>0.2</v>
      </c>
      <c r="M176" s="253">
        <f t="shared" ref="M176:M225" si="64">J176+J176*K176+J176*L176</f>
        <v>324</v>
      </c>
      <c r="N176" s="253">
        <f t="shared" si="58"/>
        <v>320</v>
      </c>
    </row>
    <row r="177" spans="1:15" s="257" customFormat="1" ht="14.4" hidden="1" customHeight="1">
      <c r="A177" s="252"/>
      <c r="B177" s="252" t="s">
        <v>865</v>
      </c>
      <c r="C177" s="253">
        <v>2500</v>
      </c>
      <c r="D177" s="254">
        <v>2</v>
      </c>
      <c r="E177" s="254">
        <v>0.15</v>
      </c>
      <c r="F177" s="254">
        <f t="shared" si="60"/>
        <v>13.333333333333334</v>
      </c>
      <c r="G177" s="254"/>
      <c r="H177" s="255"/>
      <c r="I177" s="254">
        <f t="shared" si="62"/>
        <v>13.333333333333334</v>
      </c>
      <c r="J177" s="253">
        <f t="shared" si="63"/>
        <v>187.5</v>
      </c>
      <c r="K177" s="256">
        <v>0.4</v>
      </c>
      <c r="L177" s="256">
        <v>0.2</v>
      </c>
      <c r="M177" s="253">
        <f t="shared" si="64"/>
        <v>300</v>
      </c>
      <c r="N177" s="253">
        <f t="shared" ref="N177:N209" si="65">ROUND(M177/10,0)*10</f>
        <v>300</v>
      </c>
    </row>
    <row r="178" spans="1:15" s="257" customFormat="1" ht="14.4" hidden="1" customHeight="1">
      <c r="A178" s="252"/>
      <c r="B178" s="252" t="s">
        <v>863</v>
      </c>
      <c r="C178" s="253">
        <v>3279</v>
      </c>
      <c r="D178" s="254">
        <v>2</v>
      </c>
      <c r="E178" s="254">
        <v>0.15</v>
      </c>
      <c r="F178" s="254">
        <f t="shared" si="60"/>
        <v>13.333333333333334</v>
      </c>
      <c r="G178" s="254"/>
      <c r="H178" s="255"/>
      <c r="I178" s="254">
        <f t="shared" si="62"/>
        <v>13.333333333333334</v>
      </c>
      <c r="J178" s="253">
        <f t="shared" si="63"/>
        <v>245.92499999999998</v>
      </c>
      <c r="K178" s="256">
        <v>0.4</v>
      </c>
      <c r="L178" s="256">
        <v>0.2</v>
      </c>
      <c r="M178" s="253">
        <f t="shared" si="64"/>
        <v>393.47999999999996</v>
      </c>
      <c r="N178" s="253">
        <f t="shared" si="65"/>
        <v>390</v>
      </c>
    </row>
    <row r="179" spans="1:15" s="257" customFormat="1" ht="14.4" hidden="1" customHeight="1">
      <c r="A179" s="252"/>
      <c r="B179" s="252" t="s">
        <v>864</v>
      </c>
      <c r="C179" s="253">
        <v>3500</v>
      </c>
      <c r="D179" s="254">
        <v>2</v>
      </c>
      <c r="E179" s="254">
        <v>0.15</v>
      </c>
      <c r="F179" s="254">
        <f t="shared" si="60"/>
        <v>13.333333333333334</v>
      </c>
      <c r="G179" s="254"/>
      <c r="H179" s="255"/>
      <c r="I179" s="254">
        <f t="shared" si="62"/>
        <v>13.333333333333334</v>
      </c>
      <c r="J179" s="253">
        <f t="shared" si="63"/>
        <v>262.5</v>
      </c>
      <c r="K179" s="256">
        <v>0.4</v>
      </c>
      <c r="L179" s="256">
        <v>0.2</v>
      </c>
      <c r="M179" s="253">
        <f t="shared" si="64"/>
        <v>420</v>
      </c>
      <c r="N179" s="253">
        <f t="shared" si="65"/>
        <v>420</v>
      </c>
    </row>
    <row r="180" spans="1:15" s="257" customFormat="1" ht="31.8" hidden="1" customHeight="1">
      <c r="A180" s="252"/>
      <c r="B180" s="252" t="s">
        <v>976</v>
      </c>
      <c r="C180" s="253">
        <v>3500</v>
      </c>
      <c r="D180" s="254">
        <v>2</v>
      </c>
      <c r="E180" s="254">
        <v>0.15</v>
      </c>
      <c r="F180" s="254">
        <f t="shared" si="60"/>
        <v>13.333333333333334</v>
      </c>
      <c r="G180" s="254"/>
      <c r="H180" s="255"/>
      <c r="I180" s="254">
        <f t="shared" si="62"/>
        <v>13.333333333333334</v>
      </c>
      <c r="J180" s="253">
        <f t="shared" si="63"/>
        <v>262.5</v>
      </c>
      <c r="K180" s="256">
        <v>0.4</v>
      </c>
      <c r="L180" s="256">
        <v>0.2</v>
      </c>
      <c r="M180" s="253">
        <f t="shared" si="64"/>
        <v>420</v>
      </c>
      <c r="N180" s="253">
        <f t="shared" si="65"/>
        <v>420</v>
      </c>
      <c r="O180" s="257" t="s">
        <v>851</v>
      </c>
    </row>
    <row r="181" spans="1:15" s="257" customFormat="1" ht="33.6" hidden="1" customHeight="1">
      <c r="A181" s="252"/>
      <c r="B181" s="252" t="s">
        <v>860</v>
      </c>
      <c r="C181" s="253">
        <v>1460</v>
      </c>
      <c r="D181" s="254">
        <v>4</v>
      </c>
      <c r="E181" s="254">
        <v>0.2</v>
      </c>
      <c r="F181" s="254">
        <f t="shared" si="60"/>
        <v>20</v>
      </c>
      <c r="G181" s="254"/>
      <c r="H181" s="255"/>
      <c r="I181" s="254">
        <f t="shared" si="62"/>
        <v>20</v>
      </c>
      <c r="J181" s="253">
        <f t="shared" si="63"/>
        <v>73</v>
      </c>
      <c r="K181" s="256">
        <v>0.4</v>
      </c>
      <c r="L181" s="256">
        <v>0.2</v>
      </c>
      <c r="M181" s="253">
        <f t="shared" si="64"/>
        <v>116.80000000000001</v>
      </c>
      <c r="N181" s="253">
        <f t="shared" si="65"/>
        <v>120</v>
      </c>
    </row>
    <row r="182" spans="1:15" s="257" customFormat="1" ht="21" hidden="1" customHeight="1">
      <c r="A182" s="252"/>
      <c r="B182" s="252" t="s">
        <v>861</v>
      </c>
      <c r="C182" s="253">
        <v>1866.7</v>
      </c>
      <c r="D182" s="254">
        <v>4</v>
      </c>
      <c r="E182" s="254">
        <v>0.15</v>
      </c>
      <c r="F182" s="254">
        <f t="shared" si="60"/>
        <v>26.666666666666668</v>
      </c>
      <c r="G182" s="254"/>
      <c r="H182" s="255"/>
      <c r="I182" s="254">
        <f t="shared" si="62"/>
        <v>26.666666666666668</v>
      </c>
      <c r="J182" s="253">
        <f t="shared" si="63"/>
        <v>70.001249999999999</v>
      </c>
      <c r="K182" s="256">
        <v>0.4</v>
      </c>
      <c r="L182" s="256">
        <v>0.2</v>
      </c>
      <c r="M182" s="253">
        <f t="shared" si="64"/>
        <v>112.00200000000001</v>
      </c>
      <c r="N182" s="253">
        <f t="shared" si="65"/>
        <v>110</v>
      </c>
    </row>
    <row r="183" spans="1:15" s="257" customFormat="1" ht="24.6" hidden="1" customHeight="1">
      <c r="A183" s="252"/>
      <c r="B183" s="252" t="s">
        <v>861</v>
      </c>
      <c r="C183" s="253">
        <v>1650</v>
      </c>
      <c r="D183" s="254">
        <v>4</v>
      </c>
      <c r="E183" s="254">
        <v>0.15</v>
      </c>
      <c r="F183" s="254">
        <f t="shared" si="60"/>
        <v>26.666666666666668</v>
      </c>
      <c r="G183" s="254"/>
      <c r="H183" s="255"/>
      <c r="I183" s="254">
        <f t="shared" si="62"/>
        <v>26.666666666666668</v>
      </c>
      <c r="J183" s="253">
        <f t="shared" si="63"/>
        <v>61.875</v>
      </c>
      <c r="K183" s="256">
        <v>0.4</v>
      </c>
      <c r="L183" s="256">
        <v>0.2</v>
      </c>
      <c r="M183" s="253">
        <f t="shared" si="64"/>
        <v>99</v>
      </c>
      <c r="N183" s="253">
        <f t="shared" si="65"/>
        <v>100</v>
      </c>
    </row>
    <row r="184" spans="1:15" s="257" customFormat="1" ht="24.6" hidden="1" customHeight="1">
      <c r="A184" s="252"/>
      <c r="B184" s="252" t="s">
        <v>974</v>
      </c>
      <c r="C184" s="253">
        <v>1257</v>
      </c>
      <c r="D184" s="254">
        <v>13</v>
      </c>
      <c r="E184" s="254">
        <v>0.15</v>
      </c>
      <c r="F184" s="260">
        <f t="shared" si="60"/>
        <v>86.666666666666671</v>
      </c>
      <c r="G184" s="256"/>
      <c r="H184" s="261"/>
      <c r="I184" s="260">
        <f t="shared" si="62"/>
        <v>86.666666666666671</v>
      </c>
      <c r="J184" s="253">
        <f t="shared" si="63"/>
        <v>14.503846153846153</v>
      </c>
      <c r="K184" s="256">
        <v>0.3</v>
      </c>
      <c r="L184" s="256">
        <v>0.2</v>
      </c>
      <c r="M184" s="253">
        <f t="shared" si="64"/>
        <v>21.755769230769229</v>
      </c>
      <c r="N184" s="253">
        <f t="shared" si="65"/>
        <v>20</v>
      </c>
    </row>
    <row r="185" spans="1:15" s="257" customFormat="1" ht="24.6" hidden="1" customHeight="1">
      <c r="A185" s="252"/>
      <c r="B185" s="252" t="s">
        <v>888</v>
      </c>
      <c r="C185" s="253">
        <v>2420</v>
      </c>
      <c r="D185" s="254">
        <v>40</v>
      </c>
      <c r="E185" s="254">
        <v>0.1</v>
      </c>
      <c r="F185" s="254">
        <f t="shared" si="60"/>
        <v>400</v>
      </c>
      <c r="G185" s="254"/>
      <c r="H185" s="255"/>
      <c r="I185" s="254">
        <f t="shared" si="62"/>
        <v>400</v>
      </c>
      <c r="J185" s="253">
        <f t="shared" si="63"/>
        <v>6.05</v>
      </c>
      <c r="K185" s="256">
        <v>0.3</v>
      </c>
      <c r="L185" s="256">
        <v>0.2</v>
      </c>
      <c r="M185" s="253">
        <f t="shared" si="64"/>
        <v>9.0749999999999993</v>
      </c>
      <c r="N185" s="253">
        <f t="shared" si="65"/>
        <v>10</v>
      </c>
    </row>
    <row r="186" spans="1:15" s="257" customFormat="1" ht="14.4" hidden="1" customHeight="1">
      <c r="A186" s="252"/>
      <c r="B186" s="252" t="s">
        <v>867</v>
      </c>
      <c r="C186" s="253">
        <v>4300</v>
      </c>
      <c r="D186" s="254">
        <v>15</v>
      </c>
      <c r="E186" s="254">
        <v>0.15</v>
      </c>
      <c r="F186" s="254">
        <f t="shared" si="60"/>
        <v>100</v>
      </c>
      <c r="G186" s="254">
        <v>0.15</v>
      </c>
      <c r="H186" s="255">
        <v>3</v>
      </c>
      <c r="I186" s="254">
        <f>F186*0.85/3</f>
        <v>28.333333333333332</v>
      </c>
      <c r="J186" s="253">
        <f t="shared" si="63"/>
        <v>151.76470588235296</v>
      </c>
      <c r="K186" s="256">
        <v>0.5</v>
      </c>
      <c r="L186" s="256">
        <v>0.2</v>
      </c>
      <c r="M186" s="253">
        <f t="shared" si="64"/>
        <v>258.00000000000006</v>
      </c>
      <c r="N186" s="253">
        <f t="shared" si="65"/>
        <v>260</v>
      </c>
    </row>
    <row r="187" spans="1:15" s="257" customFormat="1" ht="14.4" hidden="1" customHeight="1">
      <c r="A187" s="252"/>
      <c r="B187" s="252" t="s">
        <v>868</v>
      </c>
      <c r="C187" s="253">
        <v>13000</v>
      </c>
      <c r="D187" s="254">
        <f>15*3+2*8</f>
        <v>61</v>
      </c>
      <c r="E187" s="254">
        <v>0.15</v>
      </c>
      <c r="F187" s="254">
        <f t="shared" si="60"/>
        <v>406.66666666666669</v>
      </c>
      <c r="G187" s="254">
        <v>0.15</v>
      </c>
      <c r="H187" s="255">
        <v>3</v>
      </c>
      <c r="I187" s="254">
        <f>F187*0.85/3</f>
        <v>115.22222222222223</v>
      </c>
      <c r="J187" s="253">
        <f t="shared" si="63"/>
        <v>112.82545805207329</v>
      </c>
      <c r="K187" s="256">
        <v>0.5</v>
      </c>
      <c r="L187" s="256">
        <v>0.2</v>
      </c>
      <c r="M187" s="253">
        <f t="shared" si="64"/>
        <v>191.80327868852461</v>
      </c>
      <c r="N187" s="253">
        <f t="shared" si="65"/>
        <v>190</v>
      </c>
    </row>
    <row r="188" spans="1:15" s="257" customFormat="1" ht="14.4" hidden="1" customHeight="1">
      <c r="A188" s="252"/>
      <c r="B188" s="252" t="s">
        <v>1036</v>
      </c>
      <c r="C188" s="253">
        <v>4179</v>
      </c>
      <c r="D188" s="254">
        <v>23</v>
      </c>
      <c r="E188" s="254">
        <v>0.15</v>
      </c>
      <c r="F188" s="254">
        <f t="shared" si="60"/>
        <v>153.33333333333334</v>
      </c>
      <c r="G188" s="254"/>
      <c r="H188" s="255"/>
      <c r="I188" s="254">
        <f>F188</f>
        <v>153.33333333333334</v>
      </c>
      <c r="J188" s="253">
        <f t="shared" si="63"/>
        <v>27.254347826086956</v>
      </c>
      <c r="K188" s="256">
        <v>0.4</v>
      </c>
      <c r="L188" s="256">
        <v>0.2</v>
      </c>
      <c r="M188" s="253">
        <f t="shared" si="64"/>
        <v>43.606956521739136</v>
      </c>
      <c r="N188" s="253">
        <f t="shared" si="65"/>
        <v>40</v>
      </c>
    </row>
    <row r="189" spans="1:15" s="257" customFormat="1" ht="24.6" hidden="1" customHeight="1">
      <c r="A189" s="252"/>
      <c r="B189" s="252" t="s">
        <v>1035</v>
      </c>
      <c r="C189" s="253">
        <v>13000</v>
      </c>
      <c r="D189" s="254">
        <f>15*3+2*8</f>
        <v>61</v>
      </c>
      <c r="E189" s="254">
        <v>0.15</v>
      </c>
      <c r="F189" s="254">
        <f t="shared" si="60"/>
        <v>406.66666666666669</v>
      </c>
      <c r="G189" s="254"/>
      <c r="H189" s="255"/>
      <c r="I189" s="254">
        <f>F189</f>
        <v>406.66666666666669</v>
      </c>
      <c r="J189" s="253">
        <f t="shared" si="63"/>
        <v>31.967213114754095</v>
      </c>
      <c r="K189" s="256">
        <v>0.4</v>
      </c>
      <c r="L189" s="256">
        <v>0.2</v>
      </c>
      <c r="M189" s="253">
        <f t="shared" si="64"/>
        <v>51.147540983606554</v>
      </c>
      <c r="N189" s="253">
        <f t="shared" si="65"/>
        <v>50</v>
      </c>
    </row>
    <row r="190" spans="1:15" s="257" customFormat="1" ht="14.4" hidden="1" customHeight="1">
      <c r="A190" s="252"/>
      <c r="B190" s="252" t="s">
        <v>869</v>
      </c>
      <c r="C190" s="253">
        <v>3878.3</v>
      </c>
      <c r="D190" s="254">
        <v>15</v>
      </c>
      <c r="E190" s="254">
        <v>0.15</v>
      </c>
      <c r="F190" s="254">
        <f t="shared" si="60"/>
        <v>100</v>
      </c>
      <c r="G190" s="254">
        <v>0.15</v>
      </c>
      <c r="H190" s="255"/>
      <c r="I190" s="254">
        <f t="shared" ref="I190:I196" si="66">F190*0.85</f>
        <v>85</v>
      </c>
      <c r="J190" s="253">
        <f t="shared" si="63"/>
        <v>45.627058823529417</v>
      </c>
      <c r="K190" s="256">
        <v>0.4</v>
      </c>
      <c r="L190" s="256">
        <v>0.2</v>
      </c>
      <c r="M190" s="253">
        <f t="shared" si="64"/>
        <v>73.003294117647073</v>
      </c>
      <c r="N190" s="253">
        <f t="shared" si="65"/>
        <v>70</v>
      </c>
    </row>
    <row r="191" spans="1:15" s="257" customFormat="1" ht="24.6" hidden="1" customHeight="1">
      <c r="A191" s="252"/>
      <c r="B191" s="252" t="s">
        <v>874</v>
      </c>
      <c r="C191" s="253">
        <v>24335</v>
      </c>
      <c r="D191" s="254">
        <v>32</v>
      </c>
      <c r="E191" s="254">
        <v>0.15</v>
      </c>
      <c r="F191" s="254">
        <f t="shared" si="60"/>
        <v>213.33333333333334</v>
      </c>
      <c r="G191" s="254">
        <v>0.15</v>
      </c>
      <c r="H191" s="255" t="s">
        <v>844</v>
      </c>
      <c r="I191" s="254">
        <f t="shared" si="66"/>
        <v>181.33333333333334</v>
      </c>
      <c r="J191" s="253">
        <f t="shared" si="63"/>
        <v>134.20036764705881</v>
      </c>
      <c r="K191" s="256">
        <v>0.5</v>
      </c>
      <c r="L191" s="256">
        <v>0.25</v>
      </c>
      <c r="M191" s="253">
        <f t="shared" si="64"/>
        <v>234.85064338235293</v>
      </c>
      <c r="N191" s="253">
        <f t="shared" si="65"/>
        <v>230</v>
      </c>
    </row>
    <row r="192" spans="1:15" s="257" customFormat="1" ht="21.6" hidden="1" customHeight="1">
      <c r="A192" s="252"/>
      <c r="B192" s="252" t="s">
        <v>878</v>
      </c>
      <c r="C192" s="253">
        <v>8500</v>
      </c>
      <c r="D192" s="254">
        <v>32</v>
      </c>
      <c r="E192" s="254">
        <v>0.15</v>
      </c>
      <c r="F192" s="254">
        <f t="shared" si="60"/>
        <v>213.33333333333334</v>
      </c>
      <c r="G192" s="254">
        <v>0.15</v>
      </c>
      <c r="H192" s="255" t="s">
        <v>844</v>
      </c>
      <c r="I192" s="254">
        <f t="shared" si="66"/>
        <v>181.33333333333334</v>
      </c>
      <c r="J192" s="253">
        <f t="shared" si="63"/>
        <v>46.875</v>
      </c>
      <c r="K192" s="256">
        <v>0.5</v>
      </c>
      <c r="L192" s="256">
        <v>0.25</v>
      </c>
      <c r="M192" s="253">
        <f t="shared" si="64"/>
        <v>82.03125</v>
      </c>
      <c r="N192" s="253">
        <f t="shared" si="65"/>
        <v>80</v>
      </c>
    </row>
    <row r="193" spans="1:15" s="257" customFormat="1" ht="22.8" hidden="1" customHeight="1">
      <c r="A193" s="252"/>
      <c r="B193" s="252" t="s">
        <v>877</v>
      </c>
      <c r="C193" s="253">
        <v>7652</v>
      </c>
      <c r="D193" s="254">
        <v>32</v>
      </c>
      <c r="E193" s="254">
        <v>0.15</v>
      </c>
      <c r="F193" s="254">
        <f t="shared" si="60"/>
        <v>213.33333333333334</v>
      </c>
      <c r="G193" s="254">
        <v>0.15</v>
      </c>
      <c r="H193" s="255" t="s">
        <v>844</v>
      </c>
      <c r="I193" s="254">
        <f t="shared" si="66"/>
        <v>181.33333333333334</v>
      </c>
      <c r="J193" s="253">
        <f t="shared" si="63"/>
        <v>42.198529411764703</v>
      </c>
      <c r="K193" s="256">
        <v>0.5</v>
      </c>
      <c r="L193" s="256">
        <v>0.25</v>
      </c>
      <c r="M193" s="253">
        <f t="shared" si="64"/>
        <v>73.847426470588232</v>
      </c>
      <c r="N193" s="253">
        <f t="shared" si="65"/>
        <v>70</v>
      </c>
    </row>
    <row r="194" spans="1:15" s="257" customFormat="1" ht="24.6" hidden="1" customHeight="1">
      <c r="A194" s="252"/>
      <c r="B194" s="252" t="s">
        <v>875</v>
      </c>
      <c r="C194" s="253">
        <v>17000</v>
      </c>
      <c r="D194" s="254">
        <v>32</v>
      </c>
      <c r="E194" s="254">
        <v>0.15</v>
      </c>
      <c r="F194" s="254">
        <f t="shared" si="60"/>
        <v>213.33333333333334</v>
      </c>
      <c r="G194" s="254">
        <v>0.15</v>
      </c>
      <c r="H194" s="255" t="s">
        <v>844</v>
      </c>
      <c r="I194" s="254">
        <f t="shared" si="66"/>
        <v>181.33333333333334</v>
      </c>
      <c r="J194" s="253">
        <f t="shared" si="63"/>
        <v>93.75</v>
      </c>
      <c r="K194" s="256">
        <v>0.5</v>
      </c>
      <c r="L194" s="256">
        <v>0.25</v>
      </c>
      <c r="M194" s="253">
        <f t="shared" si="64"/>
        <v>164.0625</v>
      </c>
      <c r="N194" s="253">
        <f t="shared" si="65"/>
        <v>160</v>
      </c>
    </row>
    <row r="195" spans="1:15" s="257" customFormat="1" ht="24.6" hidden="1" customHeight="1">
      <c r="A195" s="252"/>
      <c r="B195" s="252" t="s">
        <v>1037</v>
      </c>
      <c r="C195" s="253">
        <v>15588</v>
      </c>
      <c r="D195" s="254">
        <v>32</v>
      </c>
      <c r="E195" s="254">
        <v>0.15</v>
      </c>
      <c r="F195" s="254">
        <f t="shared" si="60"/>
        <v>213.33333333333334</v>
      </c>
      <c r="G195" s="254">
        <v>0.15</v>
      </c>
      <c r="H195" s="255" t="s">
        <v>844</v>
      </c>
      <c r="I195" s="254">
        <f t="shared" si="66"/>
        <v>181.33333333333334</v>
      </c>
      <c r="J195" s="253">
        <f t="shared" si="63"/>
        <v>85.963235294117638</v>
      </c>
      <c r="K195" s="256">
        <v>0.5</v>
      </c>
      <c r="L195" s="256">
        <v>0.25</v>
      </c>
      <c r="M195" s="253">
        <f t="shared" si="64"/>
        <v>150.43566176470588</v>
      </c>
      <c r="N195" s="253">
        <f t="shared" si="65"/>
        <v>150</v>
      </c>
    </row>
    <row r="196" spans="1:15" s="257" customFormat="1" ht="24.6" hidden="1" customHeight="1">
      <c r="A196" s="252"/>
      <c r="B196" s="252" t="s">
        <v>876</v>
      </c>
      <c r="C196" s="253">
        <v>14000</v>
      </c>
      <c r="D196" s="254">
        <v>32</v>
      </c>
      <c r="E196" s="254">
        <v>0.15</v>
      </c>
      <c r="F196" s="254">
        <f t="shared" si="60"/>
        <v>213.33333333333334</v>
      </c>
      <c r="G196" s="254">
        <v>0.15</v>
      </c>
      <c r="H196" s="255" t="s">
        <v>844</v>
      </c>
      <c r="I196" s="254">
        <f t="shared" si="66"/>
        <v>181.33333333333334</v>
      </c>
      <c r="J196" s="253">
        <f t="shared" si="63"/>
        <v>77.205882352941174</v>
      </c>
      <c r="K196" s="256">
        <v>0.5</v>
      </c>
      <c r="L196" s="256">
        <v>0.25</v>
      </c>
      <c r="M196" s="253">
        <f t="shared" si="64"/>
        <v>135.11029411764707</v>
      </c>
      <c r="N196" s="253">
        <f t="shared" si="65"/>
        <v>140</v>
      </c>
    </row>
    <row r="197" spans="1:15" s="257" customFormat="1" ht="14.4" hidden="1" customHeight="1">
      <c r="A197" s="252"/>
      <c r="B197" s="252" t="s">
        <v>873</v>
      </c>
      <c r="C197" s="253">
        <v>2133.5</v>
      </c>
      <c r="D197" s="254">
        <v>24</v>
      </c>
      <c r="E197" s="254">
        <v>0.15</v>
      </c>
      <c r="F197" s="254">
        <f t="shared" si="60"/>
        <v>160</v>
      </c>
      <c r="G197" s="254">
        <v>0.15</v>
      </c>
      <c r="H197" s="255">
        <v>3</v>
      </c>
      <c r="I197" s="254">
        <f>F197*0.85/3</f>
        <v>45.333333333333336</v>
      </c>
      <c r="J197" s="253">
        <f t="shared" si="63"/>
        <v>47.0625</v>
      </c>
      <c r="K197" s="256">
        <v>0.5</v>
      </c>
      <c r="L197" s="256">
        <v>0.2</v>
      </c>
      <c r="M197" s="253">
        <f t="shared" si="64"/>
        <v>80.006249999999994</v>
      </c>
      <c r="N197" s="253">
        <f t="shared" si="65"/>
        <v>80</v>
      </c>
    </row>
    <row r="198" spans="1:15" s="257" customFormat="1" ht="30.6" hidden="1" customHeight="1">
      <c r="A198" s="252"/>
      <c r="B198" s="252" t="s">
        <v>934</v>
      </c>
      <c r="C198" s="253">
        <v>4316</v>
      </c>
      <c r="D198" s="254">
        <v>0.5</v>
      </c>
      <c r="E198" s="254">
        <v>0.5</v>
      </c>
      <c r="F198" s="254">
        <f t="shared" si="60"/>
        <v>1</v>
      </c>
      <c r="G198" s="254"/>
      <c r="H198" s="255">
        <v>1</v>
      </c>
      <c r="I198" s="254">
        <f>F198</f>
        <v>1</v>
      </c>
      <c r="J198" s="253">
        <f t="shared" si="63"/>
        <v>4316</v>
      </c>
      <c r="K198" s="256"/>
      <c r="L198" s="256">
        <v>0.25</v>
      </c>
      <c r="M198" s="253">
        <f t="shared" si="64"/>
        <v>5395</v>
      </c>
      <c r="N198" s="253">
        <f t="shared" si="65"/>
        <v>5400</v>
      </c>
    </row>
    <row r="199" spans="1:15" s="257" customFormat="1" ht="31.8" hidden="1" customHeight="1">
      <c r="A199" s="252"/>
      <c r="B199" s="252" t="s">
        <v>936</v>
      </c>
      <c r="C199" s="253">
        <v>5244.55</v>
      </c>
      <c r="D199" s="254">
        <v>1</v>
      </c>
      <c r="E199" s="254">
        <v>1</v>
      </c>
      <c r="F199" s="254">
        <v>1</v>
      </c>
      <c r="G199" s="254"/>
      <c r="H199" s="255">
        <v>1</v>
      </c>
      <c r="I199" s="254">
        <v>1</v>
      </c>
      <c r="J199" s="253">
        <f t="shared" si="63"/>
        <v>5244.55</v>
      </c>
      <c r="K199" s="256"/>
      <c r="L199" s="256">
        <v>0.25</v>
      </c>
      <c r="M199" s="253">
        <f t="shared" si="64"/>
        <v>6555.6875</v>
      </c>
      <c r="N199" s="253">
        <f t="shared" si="65"/>
        <v>6560</v>
      </c>
    </row>
    <row r="200" spans="1:15" s="257" customFormat="1" ht="21.6" hidden="1" customHeight="1">
      <c r="A200" s="252"/>
      <c r="B200" s="252" t="s">
        <v>850</v>
      </c>
      <c r="C200" s="253">
        <v>8960</v>
      </c>
      <c r="D200" s="254">
        <v>18</v>
      </c>
      <c r="E200" s="254">
        <v>0.15</v>
      </c>
      <c r="F200" s="254">
        <f t="shared" ref="F200:F225" si="67">D200/E200</f>
        <v>120</v>
      </c>
      <c r="G200" s="254">
        <v>0.15</v>
      </c>
      <c r="H200" s="255" t="s">
        <v>844</v>
      </c>
      <c r="I200" s="254">
        <f>F200*0.85</f>
        <v>102</v>
      </c>
      <c r="J200" s="253">
        <f t="shared" si="63"/>
        <v>87.843137254901961</v>
      </c>
      <c r="K200" s="256">
        <v>0.5</v>
      </c>
      <c r="L200" s="256">
        <v>0.2</v>
      </c>
      <c r="M200" s="253">
        <f t="shared" si="64"/>
        <v>149.33333333333331</v>
      </c>
      <c r="N200" s="253">
        <f t="shared" si="65"/>
        <v>150</v>
      </c>
    </row>
    <row r="201" spans="1:15" s="257" customFormat="1" ht="17.399999999999999" hidden="1" customHeight="1">
      <c r="A201" s="252"/>
      <c r="B201" s="252" t="s">
        <v>849</v>
      </c>
      <c r="C201" s="253">
        <v>6385</v>
      </c>
      <c r="D201" s="254">
        <v>12</v>
      </c>
      <c r="E201" s="254">
        <v>0.15</v>
      </c>
      <c r="F201" s="254">
        <f t="shared" si="67"/>
        <v>80</v>
      </c>
      <c r="G201" s="254">
        <v>0.15</v>
      </c>
      <c r="H201" s="255" t="s">
        <v>844</v>
      </c>
      <c r="I201" s="254">
        <f>F201*0.85</f>
        <v>68</v>
      </c>
      <c r="J201" s="253">
        <f t="shared" si="63"/>
        <v>93.897058823529406</v>
      </c>
      <c r="K201" s="256">
        <v>0.5</v>
      </c>
      <c r="L201" s="256">
        <v>0.2</v>
      </c>
      <c r="M201" s="253">
        <f t="shared" si="64"/>
        <v>159.625</v>
      </c>
      <c r="N201" s="253">
        <f t="shared" si="65"/>
        <v>160</v>
      </c>
    </row>
    <row r="202" spans="1:15" s="257" customFormat="1" ht="24.6" hidden="1" customHeight="1">
      <c r="A202" s="252"/>
      <c r="B202" s="252" t="s">
        <v>947</v>
      </c>
      <c r="C202" s="253">
        <v>760</v>
      </c>
      <c r="D202" s="254">
        <v>10</v>
      </c>
      <c r="E202" s="254">
        <v>0.15</v>
      </c>
      <c r="F202" s="254">
        <f t="shared" si="67"/>
        <v>66.666666666666671</v>
      </c>
      <c r="G202" s="254">
        <v>0.15</v>
      </c>
      <c r="H202" s="255">
        <v>3</v>
      </c>
      <c r="I202" s="254">
        <f>F202*0.85/3</f>
        <v>18.888888888888889</v>
      </c>
      <c r="J202" s="253">
        <f t="shared" si="63"/>
        <v>40.235294117647058</v>
      </c>
      <c r="K202" s="256">
        <v>0.5</v>
      </c>
      <c r="L202" s="256">
        <v>0.2</v>
      </c>
      <c r="M202" s="253">
        <f t="shared" si="64"/>
        <v>68.400000000000006</v>
      </c>
      <c r="N202" s="253">
        <f t="shared" si="65"/>
        <v>70</v>
      </c>
    </row>
    <row r="203" spans="1:15" s="257" customFormat="1" ht="15.6" hidden="1" customHeight="1">
      <c r="A203" s="252"/>
      <c r="B203" s="252" t="s">
        <v>912</v>
      </c>
      <c r="C203" s="253">
        <v>141</v>
      </c>
      <c r="D203" s="254">
        <v>100</v>
      </c>
      <c r="E203" s="254">
        <v>1</v>
      </c>
      <c r="F203" s="254">
        <f t="shared" si="67"/>
        <v>100</v>
      </c>
      <c r="G203" s="254"/>
      <c r="H203" s="255"/>
      <c r="I203" s="254">
        <v>100</v>
      </c>
      <c r="J203" s="253">
        <f t="shared" si="63"/>
        <v>1.41</v>
      </c>
      <c r="K203" s="256">
        <v>0.5</v>
      </c>
      <c r="L203" s="256">
        <v>0.2</v>
      </c>
      <c r="M203" s="253">
        <f t="shared" si="64"/>
        <v>2.3969999999999998</v>
      </c>
      <c r="N203" s="253">
        <f t="shared" si="65"/>
        <v>0</v>
      </c>
    </row>
    <row r="204" spans="1:15" s="257" customFormat="1" ht="22.8" hidden="1" customHeight="1">
      <c r="A204" s="252"/>
      <c r="B204" s="252" t="s">
        <v>914</v>
      </c>
      <c r="C204" s="253">
        <v>263</v>
      </c>
      <c r="D204" s="254">
        <v>60</v>
      </c>
      <c r="E204" s="254">
        <v>1</v>
      </c>
      <c r="F204" s="254">
        <f t="shared" si="67"/>
        <v>60</v>
      </c>
      <c r="G204" s="254"/>
      <c r="H204" s="255"/>
      <c r="I204" s="254">
        <v>100</v>
      </c>
      <c r="J204" s="253">
        <f t="shared" si="63"/>
        <v>2.63</v>
      </c>
      <c r="K204" s="256">
        <v>0.5</v>
      </c>
      <c r="L204" s="256">
        <v>0.2</v>
      </c>
      <c r="M204" s="253">
        <f t="shared" si="64"/>
        <v>4.4710000000000001</v>
      </c>
      <c r="N204" s="253">
        <f t="shared" si="65"/>
        <v>0</v>
      </c>
    </row>
    <row r="205" spans="1:15" s="257" customFormat="1" ht="24.6" hidden="1" customHeight="1">
      <c r="A205" s="252"/>
      <c r="B205" s="252" t="s">
        <v>1038</v>
      </c>
      <c r="C205" s="253">
        <v>3711</v>
      </c>
      <c r="D205" s="254">
        <v>14</v>
      </c>
      <c r="E205" s="254">
        <v>0.1</v>
      </c>
      <c r="F205" s="254">
        <f t="shared" si="67"/>
        <v>140</v>
      </c>
      <c r="G205" s="254"/>
      <c r="H205" s="255"/>
      <c r="I205" s="254">
        <f>F205</f>
        <v>140</v>
      </c>
      <c r="J205" s="253">
        <f t="shared" si="63"/>
        <v>26.507142857142856</v>
      </c>
      <c r="K205" s="256">
        <v>0.3</v>
      </c>
      <c r="L205" s="256">
        <v>0.2</v>
      </c>
      <c r="M205" s="253">
        <f t="shared" si="64"/>
        <v>39.760714285714286</v>
      </c>
      <c r="N205" s="253">
        <f t="shared" si="65"/>
        <v>40</v>
      </c>
    </row>
    <row r="206" spans="1:15" s="257" customFormat="1" ht="25.5" hidden="1" customHeight="1">
      <c r="A206" s="252"/>
      <c r="B206" s="252" t="s">
        <v>1038</v>
      </c>
      <c r="C206" s="253">
        <v>11800</v>
      </c>
      <c r="D206" s="254">
        <v>14</v>
      </c>
      <c r="E206" s="254">
        <v>0.1</v>
      </c>
      <c r="F206" s="254">
        <f t="shared" si="67"/>
        <v>140</v>
      </c>
      <c r="G206" s="254"/>
      <c r="H206" s="255"/>
      <c r="I206" s="254">
        <f>F206</f>
        <v>140</v>
      </c>
      <c r="J206" s="253">
        <f t="shared" si="63"/>
        <v>84.285714285714292</v>
      </c>
      <c r="K206" s="256">
        <v>0.3</v>
      </c>
      <c r="L206" s="256">
        <v>0.2</v>
      </c>
      <c r="M206" s="253">
        <f t="shared" si="64"/>
        <v>126.42857142857144</v>
      </c>
      <c r="N206" s="253">
        <f t="shared" si="65"/>
        <v>130</v>
      </c>
      <c r="O206" s="263"/>
    </row>
    <row r="207" spans="1:15" s="257" customFormat="1" ht="21.6" hidden="1" customHeight="1">
      <c r="A207" s="252"/>
      <c r="B207" s="252" t="s">
        <v>889</v>
      </c>
      <c r="C207" s="253">
        <v>4307</v>
      </c>
      <c r="D207" s="254">
        <v>14</v>
      </c>
      <c r="E207" s="254">
        <v>0.1</v>
      </c>
      <c r="F207" s="254">
        <f t="shared" si="67"/>
        <v>140</v>
      </c>
      <c r="G207" s="254"/>
      <c r="H207" s="255"/>
      <c r="I207" s="254">
        <f>F207</f>
        <v>140</v>
      </c>
      <c r="J207" s="253">
        <f t="shared" si="63"/>
        <v>30.764285714285716</v>
      </c>
      <c r="K207" s="256">
        <v>0.3</v>
      </c>
      <c r="L207" s="256">
        <v>0.2</v>
      </c>
      <c r="M207" s="253">
        <f t="shared" si="64"/>
        <v>46.146428571428572</v>
      </c>
      <c r="N207" s="253">
        <f t="shared" si="65"/>
        <v>50</v>
      </c>
    </row>
    <row r="208" spans="1:15" s="322" customFormat="1" ht="31.2" hidden="1" customHeight="1">
      <c r="A208" s="318"/>
      <c r="B208" s="318" t="s">
        <v>1345</v>
      </c>
      <c r="C208" s="250">
        <v>4420</v>
      </c>
      <c r="D208" s="319">
        <v>15</v>
      </c>
      <c r="E208" s="319">
        <v>0.1</v>
      </c>
      <c r="F208" s="319">
        <f t="shared" ref="F208" si="68">D208/E208</f>
        <v>150</v>
      </c>
      <c r="G208" s="319"/>
      <c r="H208" s="320"/>
      <c r="I208" s="319">
        <f>F208</f>
        <v>150</v>
      </c>
      <c r="J208" s="250">
        <f t="shared" ref="J208" si="69">C208/I208</f>
        <v>29.466666666666665</v>
      </c>
      <c r="K208" s="321">
        <v>0.3</v>
      </c>
      <c r="L208" s="321">
        <v>0.25</v>
      </c>
      <c r="M208" s="250">
        <f t="shared" ref="M208" si="70">J208+J208*K208+J208*L208</f>
        <v>45.673333333333332</v>
      </c>
      <c r="N208" s="250">
        <f t="shared" ref="N208" si="71">ROUND(M208/10,0)*10</f>
        <v>50</v>
      </c>
    </row>
    <row r="209" spans="1:20" s="257" customFormat="1" ht="30" hidden="1" customHeight="1">
      <c r="A209" s="252"/>
      <c r="B209" s="252" t="s">
        <v>1039</v>
      </c>
      <c r="C209" s="253">
        <v>34499</v>
      </c>
      <c r="D209" s="254">
        <f>7*4</f>
        <v>28</v>
      </c>
      <c r="E209" s="254">
        <v>0.15</v>
      </c>
      <c r="F209" s="254">
        <f t="shared" si="67"/>
        <v>186.66666666666669</v>
      </c>
      <c r="G209" s="254">
        <v>0.15</v>
      </c>
      <c r="H209" s="255" t="s">
        <v>844</v>
      </c>
      <c r="I209" s="254">
        <f t="shared" ref="I209:I223" si="72">F209*0.7</f>
        <v>130.66666666666669</v>
      </c>
      <c r="J209" s="253">
        <f t="shared" si="63"/>
        <v>264.02295918367344</v>
      </c>
      <c r="K209" s="256">
        <v>0.5</v>
      </c>
      <c r="L209" s="256">
        <v>0.2</v>
      </c>
      <c r="M209" s="253">
        <f t="shared" si="64"/>
        <v>448.83903061224481</v>
      </c>
      <c r="N209" s="253">
        <f t="shared" si="65"/>
        <v>450</v>
      </c>
    </row>
    <row r="210" spans="1:20" s="322" customFormat="1" ht="31.2" hidden="1" customHeight="1">
      <c r="A210" s="318"/>
      <c r="B210" s="318" t="s">
        <v>1347</v>
      </c>
      <c r="C210" s="250">
        <v>4122</v>
      </c>
      <c r="D210" s="319">
        <v>4</v>
      </c>
      <c r="E210" s="319">
        <v>0.15</v>
      </c>
      <c r="F210" s="324">
        <f t="shared" ref="F210" si="73">D210/E210</f>
        <v>26.666666666666668</v>
      </c>
      <c r="G210" s="319">
        <v>0.15</v>
      </c>
      <c r="H210" s="320" t="s">
        <v>844</v>
      </c>
      <c r="I210" s="324">
        <f t="shared" ref="I210" si="74">F210*0.7</f>
        <v>18.666666666666668</v>
      </c>
      <c r="J210" s="250">
        <f t="shared" ref="J210" si="75">C210/I210</f>
        <v>220.82142857142856</v>
      </c>
      <c r="K210" s="321">
        <v>0.5</v>
      </c>
      <c r="L210" s="321">
        <v>0.25</v>
      </c>
      <c r="M210" s="250">
        <f t="shared" ref="M210" si="76">J210+J210*K210+J210*L210</f>
        <v>386.4375</v>
      </c>
      <c r="N210" s="250">
        <f t="shared" ref="N210" si="77">ROUND(M210/10,0)*10</f>
        <v>390</v>
      </c>
    </row>
    <row r="211" spans="1:20" s="257" customFormat="1" ht="65.400000000000006" hidden="1" customHeight="1">
      <c r="A211" s="252"/>
      <c r="B211" s="252" t="s">
        <v>1162</v>
      </c>
      <c r="C211" s="253">
        <v>9260.16</v>
      </c>
      <c r="D211" s="254">
        <f>3.8*6</f>
        <v>22.799999999999997</v>
      </c>
      <c r="E211" s="254">
        <v>0.15</v>
      </c>
      <c r="F211" s="254">
        <f t="shared" si="67"/>
        <v>152</v>
      </c>
      <c r="G211" s="254">
        <v>0.15</v>
      </c>
      <c r="H211" s="255" t="s">
        <v>844</v>
      </c>
      <c r="I211" s="254">
        <f t="shared" si="72"/>
        <v>106.39999999999999</v>
      </c>
      <c r="J211" s="253">
        <f t="shared" si="63"/>
        <v>87.03157894736843</v>
      </c>
      <c r="K211" s="256">
        <v>0.5</v>
      </c>
      <c r="L211" s="256">
        <v>0.2</v>
      </c>
      <c r="M211" s="253">
        <f t="shared" si="64"/>
        <v>147.95368421052635</v>
      </c>
      <c r="N211" s="253">
        <f t="shared" ref="N211:N225" si="78">ROUND(M211/10,0)*10</f>
        <v>150</v>
      </c>
    </row>
    <row r="212" spans="1:20" s="257" customFormat="1" ht="30" hidden="1" customHeight="1">
      <c r="A212" s="252"/>
      <c r="B212" s="252" t="s">
        <v>957</v>
      </c>
      <c r="C212" s="253">
        <v>8278</v>
      </c>
      <c r="D212" s="254">
        <v>11.4</v>
      </c>
      <c r="E212" s="254">
        <v>0.15</v>
      </c>
      <c r="F212" s="254">
        <f t="shared" si="67"/>
        <v>76</v>
      </c>
      <c r="G212" s="254">
        <v>0.15</v>
      </c>
      <c r="H212" s="255" t="s">
        <v>844</v>
      </c>
      <c r="I212" s="254">
        <f t="shared" si="72"/>
        <v>53.199999999999996</v>
      </c>
      <c r="J212" s="253">
        <f t="shared" si="63"/>
        <v>155.6015037593985</v>
      </c>
      <c r="K212" s="256">
        <v>0.5</v>
      </c>
      <c r="L212" s="256">
        <v>0.2</v>
      </c>
      <c r="M212" s="253">
        <f t="shared" si="64"/>
        <v>264.52255639097746</v>
      </c>
      <c r="N212" s="253">
        <f t="shared" si="78"/>
        <v>260</v>
      </c>
    </row>
    <row r="213" spans="1:20" s="257" customFormat="1" ht="32.4" hidden="1" customHeight="1">
      <c r="A213" s="252"/>
      <c r="B213" s="252" t="s">
        <v>1040</v>
      </c>
      <c r="C213" s="253">
        <v>1832</v>
      </c>
      <c r="D213" s="254">
        <v>3.8</v>
      </c>
      <c r="E213" s="254">
        <v>0.15</v>
      </c>
      <c r="F213" s="254">
        <f t="shared" si="67"/>
        <v>25.333333333333332</v>
      </c>
      <c r="G213" s="254">
        <v>0.15</v>
      </c>
      <c r="H213" s="255" t="s">
        <v>844</v>
      </c>
      <c r="I213" s="254">
        <f t="shared" si="72"/>
        <v>17.733333333333331</v>
      </c>
      <c r="J213" s="253">
        <f t="shared" si="63"/>
        <v>103.30827067669175</v>
      </c>
      <c r="K213" s="256">
        <v>0.5</v>
      </c>
      <c r="L213" s="256">
        <v>0.2</v>
      </c>
      <c r="M213" s="253">
        <f t="shared" si="64"/>
        <v>175.62406015037598</v>
      </c>
      <c r="N213" s="253">
        <f t="shared" si="78"/>
        <v>180</v>
      </c>
    </row>
    <row r="214" spans="1:20" s="257" customFormat="1" ht="23.4" hidden="1" customHeight="1">
      <c r="A214" s="252"/>
      <c r="B214" s="252" t="s">
        <v>1296</v>
      </c>
      <c r="C214" s="253">
        <v>3294</v>
      </c>
      <c r="D214" s="254">
        <v>4.2</v>
      </c>
      <c r="E214" s="254">
        <v>0.15</v>
      </c>
      <c r="F214" s="254">
        <f t="shared" si="67"/>
        <v>28.000000000000004</v>
      </c>
      <c r="G214" s="254">
        <v>0.15</v>
      </c>
      <c r="H214" s="255" t="s">
        <v>844</v>
      </c>
      <c r="I214" s="254">
        <f t="shared" si="72"/>
        <v>19.600000000000001</v>
      </c>
      <c r="J214" s="253">
        <f t="shared" si="63"/>
        <v>168.0612244897959</v>
      </c>
      <c r="K214" s="256">
        <v>0.5</v>
      </c>
      <c r="L214" s="256">
        <v>0.2</v>
      </c>
      <c r="M214" s="253">
        <f t="shared" si="64"/>
        <v>285.70408163265301</v>
      </c>
      <c r="N214" s="253">
        <f t="shared" si="78"/>
        <v>290</v>
      </c>
    </row>
    <row r="215" spans="1:20" s="257" customFormat="1" ht="32.4" hidden="1" customHeight="1">
      <c r="A215" s="252"/>
      <c r="B215" s="252" t="s">
        <v>1041</v>
      </c>
      <c r="C215" s="253">
        <v>3246</v>
      </c>
      <c r="D215" s="254">
        <v>3.8</v>
      </c>
      <c r="E215" s="254">
        <v>0.15</v>
      </c>
      <c r="F215" s="254">
        <f t="shared" si="67"/>
        <v>25.333333333333332</v>
      </c>
      <c r="G215" s="254">
        <v>0.15</v>
      </c>
      <c r="H215" s="255" t="s">
        <v>844</v>
      </c>
      <c r="I215" s="254">
        <f t="shared" si="72"/>
        <v>17.733333333333331</v>
      </c>
      <c r="J215" s="253">
        <f t="shared" si="63"/>
        <v>183.04511278195491</v>
      </c>
      <c r="K215" s="256">
        <v>0.5</v>
      </c>
      <c r="L215" s="256">
        <v>0.2</v>
      </c>
      <c r="M215" s="253">
        <f t="shared" si="64"/>
        <v>311.17669172932335</v>
      </c>
      <c r="N215" s="253">
        <f t="shared" si="78"/>
        <v>310</v>
      </c>
    </row>
    <row r="216" spans="1:20" s="257" customFormat="1" ht="30" hidden="1" customHeight="1">
      <c r="A216" s="252"/>
      <c r="B216" s="252" t="s">
        <v>1096</v>
      </c>
      <c r="C216" s="253">
        <v>13726</v>
      </c>
      <c r="D216" s="254">
        <f>6*3.8</f>
        <v>22.799999999999997</v>
      </c>
      <c r="E216" s="254">
        <v>0.15</v>
      </c>
      <c r="F216" s="254">
        <f t="shared" si="67"/>
        <v>152</v>
      </c>
      <c r="G216" s="254">
        <v>0.15</v>
      </c>
      <c r="H216" s="255" t="s">
        <v>844</v>
      </c>
      <c r="I216" s="254">
        <f t="shared" si="72"/>
        <v>106.39999999999999</v>
      </c>
      <c r="J216" s="253">
        <f t="shared" si="63"/>
        <v>129.00375939849624</v>
      </c>
      <c r="K216" s="256">
        <v>0.5</v>
      </c>
      <c r="L216" s="256">
        <v>0.2</v>
      </c>
      <c r="M216" s="253">
        <f t="shared" si="64"/>
        <v>219.30639097744361</v>
      </c>
      <c r="N216" s="253">
        <f t="shared" si="78"/>
        <v>220</v>
      </c>
    </row>
    <row r="217" spans="1:20" s="257" customFormat="1" ht="22.8" hidden="1" customHeight="1">
      <c r="A217" s="252"/>
      <c r="B217" s="252" t="s">
        <v>1096</v>
      </c>
      <c r="C217" s="253">
        <v>13726</v>
      </c>
      <c r="D217" s="254">
        <f>6*3.8</f>
        <v>22.799999999999997</v>
      </c>
      <c r="E217" s="254">
        <v>0.15</v>
      </c>
      <c r="F217" s="254">
        <f t="shared" si="67"/>
        <v>152</v>
      </c>
      <c r="G217" s="254">
        <v>0.15</v>
      </c>
      <c r="H217" s="255" t="s">
        <v>844</v>
      </c>
      <c r="I217" s="254">
        <f t="shared" si="72"/>
        <v>106.39999999999999</v>
      </c>
      <c r="J217" s="253">
        <f t="shared" si="63"/>
        <v>129.00375939849624</v>
      </c>
      <c r="K217" s="256">
        <v>0.5</v>
      </c>
      <c r="L217" s="256">
        <v>0.2</v>
      </c>
      <c r="M217" s="253">
        <f t="shared" si="64"/>
        <v>219.30639097744361</v>
      </c>
      <c r="N217" s="253">
        <f t="shared" si="78"/>
        <v>220</v>
      </c>
    </row>
    <row r="218" spans="1:20" s="257" customFormat="1" ht="22.8" hidden="1" customHeight="1">
      <c r="A218" s="252"/>
      <c r="B218" s="252" t="s">
        <v>952</v>
      </c>
      <c r="C218" s="253">
        <v>13300</v>
      </c>
      <c r="D218" s="254">
        <f>6*3.8</f>
        <v>22.799999999999997</v>
      </c>
      <c r="E218" s="254">
        <v>0.15</v>
      </c>
      <c r="F218" s="254">
        <f t="shared" si="67"/>
        <v>152</v>
      </c>
      <c r="G218" s="254">
        <v>0.15</v>
      </c>
      <c r="H218" s="255" t="s">
        <v>844</v>
      </c>
      <c r="I218" s="254">
        <f t="shared" si="72"/>
        <v>106.39999999999999</v>
      </c>
      <c r="J218" s="253">
        <f t="shared" si="63"/>
        <v>125.00000000000001</v>
      </c>
      <c r="K218" s="256">
        <v>0.5</v>
      </c>
      <c r="L218" s="256">
        <v>0.2</v>
      </c>
      <c r="M218" s="253">
        <f t="shared" si="64"/>
        <v>212.50000000000003</v>
      </c>
      <c r="N218" s="253">
        <f t="shared" si="78"/>
        <v>210</v>
      </c>
    </row>
    <row r="219" spans="1:20" s="322" customFormat="1" ht="22.8" hidden="1" customHeight="1">
      <c r="A219" s="318"/>
      <c r="B219" s="318" t="s">
        <v>1355</v>
      </c>
      <c r="C219" s="250">
        <v>27872</v>
      </c>
      <c r="D219" s="319">
        <f>6*3.8</f>
        <v>22.799999999999997</v>
      </c>
      <c r="E219" s="319">
        <v>0.15</v>
      </c>
      <c r="F219" s="319">
        <f t="shared" ref="F219" si="79">D219/E219</f>
        <v>152</v>
      </c>
      <c r="G219" s="319">
        <v>0.15</v>
      </c>
      <c r="H219" s="320" t="s">
        <v>844</v>
      </c>
      <c r="I219" s="319">
        <f t="shared" ref="I219" si="80">F219*0.7</f>
        <v>106.39999999999999</v>
      </c>
      <c r="J219" s="250">
        <f t="shared" ref="J219" si="81">C219/I219</f>
        <v>261.95488721804514</v>
      </c>
      <c r="K219" s="321">
        <v>0.5</v>
      </c>
      <c r="L219" s="321">
        <v>0.2</v>
      </c>
      <c r="M219" s="250">
        <f t="shared" ref="M219" si="82">J219+J219*K219+J219*L219</f>
        <v>445.32330827067676</v>
      </c>
      <c r="N219" s="250">
        <f t="shared" ref="N219" si="83">ROUND(M219/10,0)*10</f>
        <v>450</v>
      </c>
    </row>
    <row r="220" spans="1:20" s="257" customFormat="1" ht="22.8" hidden="1" customHeight="1">
      <c r="A220" s="252"/>
      <c r="B220" s="252" t="s">
        <v>954</v>
      </c>
      <c r="C220" s="253">
        <v>22000</v>
      </c>
      <c r="D220" s="254">
        <f>6*3.8</f>
        <v>22.799999999999997</v>
      </c>
      <c r="E220" s="254">
        <v>0.15</v>
      </c>
      <c r="F220" s="254">
        <f t="shared" si="67"/>
        <v>152</v>
      </c>
      <c r="G220" s="254">
        <v>0.15</v>
      </c>
      <c r="H220" s="255" t="s">
        <v>844</v>
      </c>
      <c r="I220" s="254">
        <f t="shared" si="72"/>
        <v>106.39999999999999</v>
      </c>
      <c r="J220" s="253">
        <f t="shared" si="63"/>
        <v>206.76691729323309</v>
      </c>
      <c r="K220" s="256">
        <v>0.5</v>
      </c>
      <c r="L220" s="256">
        <v>0.2</v>
      </c>
      <c r="M220" s="253">
        <f t="shared" si="64"/>
        <v>351.5037593984963</v>
      </c>
      <c r="N220" s="253">
        <f t="shared" si="78"/>
        <v>350</v>
      </c>
    </row>
    <row r="221" spans="1:20" s="257" customFormat="1" ht="32.4" hidden="1" customHeight="1">
      <c r="A221" s="252"/>
      <c r="B221" s="252" t="s">
        <v>1292</v>
      </c>
      <c r="C221" s="253">
        <v>4049</v>
      </c>
      <c r="D221" s="254">
        <v>3</v>
      </c>
      <c r="E221" s="254">
        <v>0.15</v>
      </c>
      <c r="F221" s="260">
        <f t="shared" si="67"/>
        <v>20</v>
      </c>
      <c r="G221" s="256">
        <v>0.15</v>
      </c>
      <c r="H221" s="261" t="s">
        <v>844</v>
      </c>
      <c r="I221" s="260">
        <f t="shared" si="72"/>
        <v>14</v>
      </c>
      <c r="J221" s="253">
        <f t="shared" si="63"/>
        <v>289.21428571428572</v>
      </c>
      <c r="K221" s="256">
        <v>0.5</v>
      </c>
      <c r="L221" s="256">
        <v>0.2</v>
      </c>
      <c r="M221" s="253">
        <f t="shared" si="64"/>
        <v>491.66428571428571</v>
      </c>
      <c r="N221" s="253">
        <f t="shared" si="78"/>
        <v>490</v>
      </c>
    </row>
    <row r="222" spans="1:20" s="257" customFormat="1" ht="32.4" hidden="1" customHeight="1">
      <c r="A222" s="252"/>
      <c r="B222" s="252" t="s">
        <v>1293</v>
      </c>
      <c r="C222" s="253">
        <v>2611.6999999999998</v>
      </c>
      <c r="D222" s="254">
        <v>3</v>
      </c>
      <c r="E222" s="254">
        <v>0.15</v>
      </c>
      <c r="F222" s="260">
        <f t="shared" si="67"/>
        <v>20</v>
      </c>
      <c r="G222" s="256">
        <v>0.15</v>
      </c>
      <c r="H222" s="261" t="s">
        <v>844</v>
      </c>
      <c r="I222" s="260">
        <f t="shared" si="72"/>
        <v>14</v>
      </c>
      <c r="J222" s="253">
        <f t="shared" si="63"/>
        <v>186.54999999999998</v>
      </c>
      <c r="K222" s="256">
        <v>0.5</v>
      </c>
      <c r="L222" s="256">
        <v>0.2</v>
      </c>
      <c r="M222" s="253">
        <f t="shared" si="64"/>
        <v>317.13499999999999</v>
      </c>
      <c r="N222" s="253">
        <f t="shared" si="78"/>
        <v>320</v>
      </c>
      <c r="R222" s="252" t="str">
        <f>B221</f>
        <v>Эстелайт Юниверсал Супер Флоу светополимер (1шпр*3,0гр) Япония 20.04.2022</v>
      </c>
      <c r="S222" s="252" t="s">
        <v>1295</v>
      </c>
      <c r="T222" s="272">
        <f>N221</f>
        <v>490</v>
      </c>
    </row>
    <row r="223" spans="1:20" s="257" customFormat="1" ht="22.8" hidden="1" customHeight="1">
      <c r="A223" s="252"/>
      <c r="B223" s="252" t="s">
        <v>1064</v>
      </c>
      <c r="C223" s="253">
        <v>4049</v>
      </c>
      <c r="D223" s="254">
        <v>3</v>
      </c>
      <c r="E223" s="254">
        <v>0.15</v>
      </c>
      <c r="F223" s="254">
        <f t="shared" si="67"/>
        <v>20</v>
      </c>
      <c r="G223" s="254">
        <v>0.15</v>
      </c>
      <c r="H223" s="255" t="s">
        <v>844</v>
      </c>
      <c r="I223" s="254">
        <f t="shared" si="72"/>
        <v>14</v>
      </c>
      <c r="J223" s="253">
        <f t="shared" si="63"/>
        <v>289.21428571428572</v>
      </c>
      <c r="K223" s="256">
        <v>0.5</v>
      </c>
      <c r="L223" s="256">
        <v>0.2</v>
      </c>
      <c r="M223" s="253">
        <f t="shared" si="64"/>
        <v>491.66428571428571</v>
      </c>
      <c r="N223" s="253">
        <f t="shared" si="78"/>
        <v>490</v>
      </c>
    </row>
    <row r="224" spans="1:20" s="257" customFormat="1" ht="19.8" hidden="1" customHeight="1">
      <c r="A224" s="264"/>
      <c r="B224" s="252" t="s">
        <v>866</v>
      </c>
      <c r="C224" s="253">
        <v>1106.2</v>
      </c>
      <c r="D224" s="254">
        <v>32</v>
      </c>
      <c r="E224" s="254">
        <v>0.15</v>
      </c>
      <c r="F224" s="254">
        <f t="shared" si="67"/>
        <v>213.33333333333334</v>
      </c>
      <c r="G224" s="254">
        <v>0.15</v>
      </c>
      <c r="H224" s="255">
        <v>3</v>
      </c>
      <c r="I224" s="254">
        <f>F224*0.85/3</f>
        <v>60.44444444444445</v>
      </c>
      <c r="J224" s="253">
        <f t="shared" si="63"/>
        <v>18.30110294117647</v>
      </c>
      <c r="K224" s="256">
        <v>0.5</v>
      </c>
      <c r="L224" s="256">
        <v>0.2</v>
      </c>
      <c r="M224" s="253">
        <f t="shared" si="64"/>
        <v>31.111875000000001</v>
      </c>
      <c r="N224" s="253">
        <f t="shared" si="78"/>
        <v>30</v>
      </c>
    </row>
    <row r="225" spans="1:20" s="257" customFormat="1" ht="42" hidden="1" customHeight="1">
      <c r="A225" s="252"/>
      <c r="B225" s="252" t="s">
        <v>1290</v>
      </c>
      <c r="C225" s="253">
        <v>2611.6999999999998</v>
      </c>
      <c r="D225" s="254">
        <v>3</v>
      </c>
      <c r="E225" s="254">
        <v>0.15</v>
      </c>
      <c r="F225" s="260">
        <f t="shared" si="67"/>
        <v>20</v>
      </c>
      <c r="G225" s="256">
        <v>0.15</v>
      </c>
      <c r="H225" s="261" t="s">
        <v>844</v>
      </c>
      <c r="I225" s="260">
        <f t="shared" ref="I225:I233" si="84">F225*0.7</f>
        <v>14</v>
      </c>
      <c r="J225" s="253">
        <f t="shared" si="63"/>
        <v>186.54999999999998</v>
      </c>
      <c r="K225" s="256">
        <v>0.5</v>
      </c>
      <c r="L225" s="256">
        <v>0.2</v>
      </c>
      <c r="M225" s="253">
        <f t="shared" si="64"/>
        <v>317.13499999999999</v>
      </c>
      <c r="N225" s="253">
        <f t="shared" si="78"/>
        <v>320</v>
      </c>
      <c r="R225" s="262"/>
    </row>
    <row r="226" spans="1:20" s="257" customFormat="1" ht="42" hidden="1" customHeight="1">
      <c r="A226" s="252"/>
      <c r="B226" s="252" t="s">
        <v>1291</v>
      </c>
      <c r="C226" s="253">
        <v>2611.6999999999998</v>
      </c>
      <c r="D226" s="254">
        <v>3</v>
      </c>
      <c r="E226" s="254">
        <v>0.15</v>
      </c>
      <c r="F226" s="260">
        <f t="shared" ref="F226:F233" si="85">D226/E226</f>
        <v>20</v>
      </c>
      <c r="G226" s="256">
        <v>0.15</v>
      </c>
      <c r="H226" s="261" t="s">
        <v>844</v>
      </c>
      <c r="I226" s="260">
        <f t="shared" si="84"/>
        <v>14</v>
      </c>
      <c r="J226" s="253">
        <f t="shared" ref="J226:J233" si="86">C226/I226</f>
        <v>186.54999999999998</v>
      </c>
      <c r="K226" s="256">
        <v>0.5</v>
      </c>
      <c r="L226" s="256">
        <v>0.2</v>
      </c>
      <c r="M226" s="253">
        <f t="shared" ref="M226:M233" si="87">J226+J226*K226+J226*L226</f>
        <v>317.13499999999999</v>
      </c>
      <c r="N226" s="253">
        <f t="shared" ref="N226:N233" si="88">ROUND(M226/10,0)*10</f>
        <v>320</v>
      </c>
      <c r="R226" s="262"/>
    </row>
    <row r="227" spans="1:20" s="257" customFormat="1" ht="28.8" hidden="1" customHeight="1">
      <c r="A227" s="252"/>
      <c r="B227" s="252" t="s">
        <v>1287</v>
      </c>
      <c r="C227" s="253">
        <v>2458.8200000000002</v>
      </c>
      <c r="D227" s="254">
        <v>3.8</v>
      </c>
      <c r="E227" s="254">
        <v>0.15</v>
      </c>
      <c r="F227" s="260">
        <f t="shared" si="85"/>
        <v>25.333333333333332</v>
      </c>
      <c r="G227" s="256">
        <v>0.15</v>
      </c>
      <c r="H227" s="261" t="s">
        <v>844</v>
      </c>
      <c r="I227" s="260">
        <f t="shared" si="84"/>
        <v>17.733333333333331</v>
      </c>
      <c r="J227" s="253">
        <f t="shared" si="86"/>
        <v>138.65526315789478</v>
      </c>
      <c r="K227" s="256">
        <v>0.5</v>
      </c>
      <c r="L227" s="256">
        <v>0.2</v>
      </c>
      <c r="M227" s="253">
        <f t="shared" si="87"/>
        <v>235.71394736842115</v>
      </c>
      <c r="N227" s="253">
        <f t="shared" si="88"/>
        <v>240</v>
      </c>
      <c r="R227" s="252" t="str">
        <f>B215</f>
        <v>Эстелайт Сигма  светополимер (1шпр*3,8гр) Япония 04.03.2022 № КК-1257</v>
      </c>
      <c r="S227" s="252" t="s">
        <v>1295</v>
      </c>
      <c r="T227" s="272">
        <f>N215</f>
        <v>310</v>
      </c>
    </row>
    <row r="228" spans="1:20" s="257" customFormat="1" ht="28.8" hidden="1" customHeight="1">
      <c r="A228" s="252"/>
      <c r="B228" s="252" t="s">
        <v>1354</v>
      </c>
      <c r="C228" s="253">
        <v>2702</v>
      </c>
      <c r="D228" s="254">
        <v>3.8</v>
      </c>
      <c r="E228" s="254">
        <v>0.15</v>
      </c>
      <c r="F228" s="260">
        <f t="shared" si="85"/>
        <v>25.333333333333332</v>
      </c>
      <c r="G228" s="256">
        <v>0.15</v>
      </c>
      <c r="H228" s="261" t="s">
        <v>844</v>
      </c>
      <c r="I228" s="260">
        <f t="shared" si="84"/>
        <v>17.733333333333331</v>
      </c>
      <c r="J228" s="253">
        <f t="shared" si="86"/>
        <v>152.36842105263159</v>
      </c>
      <c r="K228" s="256">
        <v>0.5</v>
      </c>
      <c r="L228" s="256">
        <v>0.2</v>
      </c>
      <c r="M228" s="253">
        <f t="shared" si="87"/>
        <v>259.0263157894737</v>
      </c>
      <c r="N228" s="253">
        <f t="shared" si="88"/>
        <v>260</v>
      </c>
      <c r="R228" s="252" t="str">
        <f>B215</f>
        <v>Эстелайт Сигма  светополимер (1шпр*3,8гр) Япония 04.03.2022 № КК-1257</v>
      </c>
      <c r="S228" s="252" t="s">
        <v>1295</v>
      </c>
      <c r="T228" s="272">
        <f>N215</f>
        <v>310</v>
      </c>
    </row>
    <row r="229" spans="1:20" s="257" customFormat="1" ht="28.8" hidden="1" customHeight="1">
      <c r="A229" s="252"/>
      <c r="B229" s="252" t="s">
        <v>1351</v>
      </c>
      <c r="C229" s="253">
        <v>2458.8200000000002</v>
      </c>
      <c r="D229" s="254">
        <v>3.8</v>
      </c>
      <c r="E229" s="254">
        <v>0.15</v>
      </c>
      <c r="F229" s="260">
        <f t="shared" si="85"/>
        <v>25.333333333333332</v>
      </c>
      <c r="G229" s="256">
        <v>0.15</v>
      </c>
      <c r="H229" s="261" t="s">
        <v>844</v>
      </c>
      <c r="I229" s="260">
        <f t="shared" si="84"/>
        <v>17.733333333333331</v>
      </c>
      <c r="J229" s="253">
        <f t="shared" si="86"/>
        <v>138.65526315789478</v>
      </c>
      <c r="K229" s="256">
        <v>0.5</v>
      </c>
      <c r="L229" s="256">
        <v>0.2</v>
      </c>
      <c r="M229" s="253">
        <f t="shared" si="87"/>
        <v>235.71394736842115</v>
      </c>
      <c r="N229" s="253">
        <f t="shared" si="88"/>
        <v>240</v>
      </c>
      <c r="R229" s="252" t="str">
        <f>B215</f>
        <v>Эстелайт Сигма  светополимер (1шпр*3,8гр) Япония 04.03.2022 № КК-1257</v>
      </c>
      <c r="S229" s="252" t="s">
        <v>1295</v>
      </c>
      <c r="T229" s="272">
        <f>N215</f>
        <v>310</v>
      </c>
    </row>
    <row r="230" spans="1:20" s="257" customFormat="1" ht="28.8" hidden="1" customHeight="1">
      <c r="A230" s="252"/>
      <c r="B230" s="252" t="s">
        <v>1352</v>
      </c>
      <c r="C230" s="253">
        <v>2759.12</v>
      </c>
      <c r="D230" s="254">
        <v>4.2</v>
      </c>
      <c r="E230" s="254">
        <v>0.15</v>
      </c>
      <c r="F230" s="260">
        <f t="shared" si="85"/>
        <v>28.000000000000004</v>
      </c>
      <c r="G230" s="256">
        <v>0.15</v>
      </c>
      <c r="H230" s="261" t="s">
        <v>844</v>
      </c>
      <c r="I230" s="260">
        <f t="shared" si="84"/>
        <v>19.600000000000001</v>
      </c>
      <c r="J230" s="253">
        <f t="shared" si="86"/>
        <v>140.77142857142854</v>
      </c>
      <c r="K230" s="256">
        <v>0.5</v>
      </c>
      <c r="L230" s="256">
        <v>0.2</v>
      </c>
      <c r="M230" s="253">
        <f t="shared" si="87"/>
        <v>239.31142857142854</v>
      </c>
      <c r="N230" s="253">
        <f t="shared" si="88"/>
        <v>240</v>
      </c>
      <c r="R230" s="252" t="str">
        <f>B214</f>
        <v xml:space="preserve">Эстелайт Постериор, светополимер (1шпр*4,2гр) Япония 03.03.2023 </v>
      </c>
      <c r="S230" s="252" t="s">
        <v>1295</v>
      </c>
      <c r="T230" s="272">
        <f>N214</f>
        <v>290</v>
      </c>
    </row>
    <row r="231" spans="1:20" s="257" customFormat="1" ht="28.8" hidden="1" customHeight="1">
      <c r="A231" s="252"/>
      <c r="B231" s="252" t="s">
        <v>1353</v>
      </c>
      <c r="C231" s="253">
        <v>2759.12</v>
      </c>
      <c r="D231" s="254">
        <v>4.2</v>
      </c>
      <c r="E231" s="254">
        <v>0.15</v>
      </c>
      <c r="F231" s="260">
        <f t="shared" si="85"/>
        <v>28.000000000000004</v>
      </c>
      <c r="G231" s="256">
        <v>0.15</v>
      </c>
      <c r="H231" s="261" t="s">
        <v>844</v>
      </c>
      <c r="I231" s="260">
        <f t="shared" si="84"/>
        <v>19.600000000000001</v>
      </c>
      <c r="J231" s="253">
        <f t="shared" si="86"/>
        <v>140.77142857142854</v>
      </c>
      <c r="K231" s="256">
        <v>0.5</v>
      </c>
      <c r="L231" s="256">
        <v>0.2</v>
      </c>
      <c r="M231" s="253">
        <f t="shared" si="87"/>
        <v>239.31142857142854</v>
      </c>
      <c r="N231" s="253">
        <f t="shared" si="88"/>
        <v>240</v>
      </c>
      <c r="R231" s="252" t="str">
        <f>B214</f>
        <v xml:space="preserve">Эстелайт Постериор, светополимер (1шпр*4,2гр) Япония 03.03.2023 </v>
      </c>
      <c r="S231" s="252" t="s">
        <v>1295</v>
      </c>
      <c r="T231" s="272">
        <f>N214</f>
        <v>290</v>
      </c>
    </row>
    <row r="232" spans="1:20" s="257" customFormat="1" ht="42" hidden="1" customHeight="1">
      <c r="A232" s="252"/>
      <c r="B232" s="252" t="s">
        <v>1322</v>
      </c>
      <c r="C232" s="253">
        <v>2759.12</v>
      </c>
      <c r="D232" s="254">
        <f>5*5</f>
        <v>25</v>
      </c>
      <c r="E232" s="254">
        <v>0.15</v>
      </c>
      <c r="F232" s="260">
        <f t="shared" si="85"/>
        <v>166.66666666666669</v>
      </c>
      <c r="G232" s="256">
        <v>0.15</v>
      </c>
      <c r="H232" s="261" t="s">
        <v>844</v>
      </c>
      <c r="I232" s="260">
        <f t="shared" si="84"/>
        <v>116.66666666666667</v>
      </c>
      <c r="J232" s="253">
        <f t="shared" si="86"/>
        <v>23.6496</v>
      </c>
      <c r="K232" s="256">
        <v>0.5</v>
      </c>
      <c r="L232" s="256">
        <v>0.2</v>
      </c>
      <c r="M232" s="253">
        <f t="shared" si="87"/>
        <v>40.204320000000003</v>
      </c>
      <c r="N232" s="253">
        <f t="shared" si="88"/>
        <v>40</v>
      </c>
      <c r="R232" s="262"/>
    </row>
    <row r="233" spans="1:20" s="257" customFormat="1" ht="52.2" hidden="1" customHeight="1">
      <c r="A233" s="252"/>
      <c r="B233" s="252" t="s">
        <v>1323</v>
      </c>
      <c r="C233" s="253">
        <v>2759.12</v>
      </c>
      <c r="D233" s="254">
        <f>5*5</f>
        <v>25</v>
      </c>
      <c r="E233" s="254">
        <v>0.3</v>
      </c>
      <c r="F233" s="260">
        <f t="shared" si="85"/>
        <v>83.333333333333343</v>
      </c>
      <c r="G233" s="256">
        <v>0.15</v>
      </c>
      <c r="H233" s="261" t="s">
        <v>844</v>
      </c>
      <c r="I233" s="260">
        <f t="shared" si="84"/>
        <v>58.333333333333336</v>
      </c>
      <c r="J233" s="253">
        <f t="shared" si="86"/>
        <v>47.299199999999999</v>
      </c>
      <c r="K233" s="256">
        <v>0.5</v>
      </c>
      <c r="L233" s="256">
        <v>0.2</v>
      </c>
      <c r="M233" s="253">
        <f t="shared" si="87"/>
        <v>80.408640000000005</v>
      </c>
      <c r="N233" s="253">
        <f t="shared" si="88"/>
        <v>80</v>
      </c>
      <c r="R233" s="262"/>
    </row>
    <row r="234" spans="1:20" s="257" customFormat="1" ht="16.95" hidden="1" customHeight="1">
      <c r="A234" s="265"/>
      <c r="B234" s="266"/>
      <c r="C234" s="267"/>
      <c r="D234" s="268"/>
      <c r="E234" s="268"/>
      <c r="F234" s="269"/>
      <c r="G234" s="270"/>
      <c r="H234" s="271"/>
      <c r="I234" s="269"/>
      <c r="J234" s="267"/>
      <c r="K234" s="270"/>
      <c r="L234" s="270"/>
      <c r="M234" s="267"/>
      <c r="N234" s="267"/>
    </row>
    <row r="235" spans="1:20" s="257" customFormat="1" ht="16.95" hidden="1" customHeight="1">
      <c r="A235" s="265"/>
      <c r="B235" s="266"/>
      <c r="C235" s="267"/>
      <c r="D235" s="268"/>
      <c r="E235" s="268"/>
      <c r="F235" s="269"/>
      <c r="G235" s="270"/>
      <c r="H235" s="271"/>
      <c r="I235" s="269"/>
      <c r="J235" s="267"/>
      <c r="K235" s="270"/>
      <c r="L235" s="270"/>
      <c r="M235" s="267"/>
      <c r="N235" s="267"/>
    </row>
    <row r="236" spans="1:20" s="257" customFormat="1" ht="16.95" hidden="1" customHeight="1">
      <c r="A236" s="265"/>
      <c r="B236" s="266"/>
      <c r="C236" s="267"/>
      <c r="D236" s="268"/>
      <c r="E236" s="268"/>
      <c r="F236" s="269"/>
      <c r="G236" s="270"/>
      <c r="H236" s="271"/>
      <c r="I236" s="269"/>
      <c r="J236" s="267"/>
      <c r="K236" s="270"/>
      <c r="L236" s="270"/>
      <c r="M236" s="267"/>
      <c r="N236" s="267"/>
    </row>
    <row r="237" spans="1:20" s="257" customFormat="1" ht="16.95" hidden="1" customHeight="1">
      <c r="A237" s="265"/>
      <c r="B237" s="266"/>
      <c r="C237" s="267"/>
      <c r="D237" s="268"/>
      <c r="E237" s="268"/>
      <c r="F237" s="269"/>
      <c r="G237" s="270"/>
      <c r="H237" s="271"/>
      <c r="I237" s="269"/>
      <c r="J237" s="267"/>
      <c r="K237" s="270"/>
      <c r="L237" s="270"/>
      <c r="M237" s="267"/>
      <c r="N237" s="267"/>
    </row>
    <row r="238" spans="1:20" s="257" customFormat="1" ht="16.95" hidden="1" customHeight="1">
      <c r="A238" s="265"/>
      <c r="B238" s="266"/>
      <c r="C238" s="267"/>
      <c r="D238" s="268"/>
      <c r="E238" s="268"/>
      <c r="F238" s="269"/>
      <c r="G238" s="270"/>
      <c r="H238" s="271"/>
      <c r="I238" s="269"/>
      <c r="J238" s="267"/>
      <c r="K238" s="270"/>
      <c r="L238" s="270"/>
      <c r="M238" s="267"/>
      <c r="N238" s="267"/>
    </row>
    <row r="239" spans="1:20" s="257" customFormat="1" ht="16.95" hidden="1" customHeight="1">
      <c r="A239" s="265"/>
      <c r="B239" s="266"/>
      <c r="C239" s="267"/>
      <c r="D239" s="268"/>
      <c r="E239" s="268"/>
      <c r="F239" s="269"/>
      <c r="G239" s="270"/>
      <c r="H239" s="271"/>
      <c r="I239" s="269"/>
      <c r="J239" s="267"/>
      <c r="K239" s="270"/>
      <c r="L239" s="270"/>
      <c r="M239" s="267"/>
      <c r="N239" s="267"/>
    </row>
    <row r="240" spans="1:20" s="257" customFormat="1" ht="16.95" hidden="1" customHeight="1">
      <c r="A240" s="265"/>
      <c r="B240" s="266"/>
      <c r="C240" s="267"/>
      <c r="D240" s="268"/>
      <c r="E240" s="268"/>
      <c r="F240" s="269"/>
      <c r="G240" s="270"/>
      <c r="H240" s="271"/>
      <c r="I240" s="269"/>
      <c r="J240" s="267"/>
      <c r="K240" s="270"/>
      <c r="L240" s="270"/>
      <c r="M240" s="267"/>
      <c r="N240" s="267"/>
    </row>
    <row r="241" spans="1:14" s="257" customFormat="1" ht="16.95" hidden="1" customHeight="1">
      <c r="A241" s="265"/>
      <c r="B241" s="266"/>
      <c r="C241" s="267"/>
      <c r="D241" s="268"/>
      <c r="E241" s="268"/>
      <c r="F241" s="269"/>
      <c r="G241" s="270"/>
      <c r="H241" s="271"/>
      <c r="I241" s="269"/>
      <c r="J241" s="267"/>
      <c r="K241" s="270"/>
      <c r="L241" s="270"/>
      <c r="M241" s="267"/>
      <c r="N241" s="267"/>
    </row>
    <row r="242" spans="1:14" s="257" customFormat="1" ht="16.95" hidden="1" customHeight="1">
      <c r="A242" s="265"/>
      <c r="B242" s="266"/>
      <c r="C242" s="267"/>
      <c r="D242" s="268"/>
      <c r="E242" s="268"/>
      <c r="F242" s="269"/>
      <c r="G242" s="270"/>
      <c r="H242" s="271"/>
      <c r="I242" s="269"/>
      <c r="J242" s="267"/>
      <c r="K242" s="270"/>
      <c r="L242" s="270"/>
      <c r="M242" s="267"/>
      <c r="N242" s="267"/>
    </row>
    <row r="243" spans="1:14" s="257" customFormat="1" ht="16.95" hidden="1" customHeight="1">
      <c r="A243" s="265"/>
      <c r="B243" s="266"/>
      <c r="C243" s="267"/>
      <c r="D243" s="268"/>
      <c r="E243" s="268"/>
      <c r="F243" s="269"/>
      <c r="G243" s="270"/>
      <c r="H243" s="271"/>
      <c r="I243" s="269"/>
      <c r="J243" s="267"/>
      <c r="K243" s="270"/>
      <c r="L243" s="270"/>
      <c r="M243" s="267"/>
      <c r="N243" s="267"/>
    </row>
    <row r="244" spans="1:14" s="257" customFormat="1" ht="16.95" hidden="1" customHeight="1">
      <c r="A244" s="265"/>
      <c r="B244" s="266"/>
      <c r="C244" s="267"/>
      <c r="D244" s="268"/>
      <c r="E244" s="268"/>
      <c r="F244" s="269"/>
      <c r="G244" s="270"/>
      <c r="H244" s="271"/>
      <c r="I244" s="269"/>
      <c r="J244" s="267"/>
      <c r="K244" s="270"/>
      <c r="L244" s="270"/>
      <c r="M244" s="267"/>
      <c r="N244" s="267"/>
    </row>
    <row r="245" spans="1:14" s="257" customFormat="1" ht="16.95" hidden="1" customHeight="1">
      <c r="A245" s="265"/>
      <c r="B245" s="266"/>
      <c r="C245" s="267"/>
      <c r="D245" s="268"/>
      <c r="E245" s="268"/>
      <c r="F245" s="269"/>
      <c r="G245" s="270"/>
      <c r="H245" s="271"/>
      <c r="I245" s="269"/>
      <c r="J245" s="267"/>
      <c r="K245" s="270"/>
      <c r="L245" s="270"/>
      <c r="M245" s="267"/>
      <c r="N245" s="267"/>
    </row>
    <row r="246" spans="1:14" s="257" customFormat="1" ht="16.95" hidden="1" customHeight="1">
      <c r="A246" s="265"/>
      <c r="B246" s="266"/>
      <c r="C246" s="267"/>
      <c r="D246" s="268"/>
      <c r="E246" s="268"/>
      <c r="F246" s="269"/>
      <c r="G246" s="270"/>
      <c r="H246" s="271"/>
      <c r="I246" s="269"/>
      <c r="J246" s="267"/>
      <c r="K246" s="270"/>
      <c r="L246" s="270"/>
      <c r="M246" s="267"/>
      <c r="N246" s="267"/>
    </row>
    <row r="247" spans="1:14" s="257" customFormat="1" ht="16.95" hidden="1" customHeight="1">
      <c r="A247" s="265"/>
      <c r="B247" s="266"/>
      <c r="C247" s="267"/>
      <c r="D247" s="268"/>
      <c r="E247" s="268"/>
      <c r="F247" s="269"/>
      <c r="G247" s="270"/>
      <c r="H247" s="271"/>
      <c r="I247" s="269"/>
      <c r="J247" s="267"/>
      <c r="K247" s="270"/>
      <c r="L247" s="270"/>
      <c r="M247" s="267"/>
      <c r="N247" s="267"/>
    </row>
    <row r="248" spans="1:14" s="257" customFormat="1" ht="16.95" hidden="1" customHeight="1">
      <c r="A248" s="265"/>
      <c r="B248" s="266"/>
      <c r="C248" s="267"/>
      <c r="D248" s="268"/>
      <c r="E248" s="268"/>
      <c r="F248" s="269"/>
      <c r="G248" s="270"/>
      <c r="H248" s="271"/>
      <c r="I248" s="269"/>
      <c r="J248" s="267"/>
      <c r="K248" s="270"/>
      <c r="L248" s="270"/>
      <c r="M248" s="267"/>
      <c r="N248" s="267"/>
    </row>
    <row r="249" spans="1:14" s="257" customFormat="1" ht="16.95" hidden="1" customHeight="1">
      <c r="A249" s="265"/>
      <c r="B249" s="266"/>
      <c r="C249" s="267"/>
      <c r="D249" s="268"/>
      <c r="E249" s="268"/>
      <c r="F249" s="269"/>
      <c r="G249" s="270"/>
      <c r="H249" s="271"/>
      <c r="I249" s="269"/>
      <c r="J249" s="267"/>
      <c r="K249" s="270"/>
      <c r="L249" s="270"/>
      <c r="M249" s="267"/>
      <c r="N249" s="267"/>
    </row>
    <row r="250" spans="1:14" s="257" customFormat="1" ht="16.95" hidden="1" customHeight="1">
      <c r="A250" s="265"/>
      <c r="B250" s="266"/>
      <c r="C250" s="267"/>
      <c r="D250" s="268"/>
      <c r="E250" s="268"/>
      <c r="F250" s="269"/>
      <c r="G250" s="270"/>
      <c r="H250" s="271"/>
      <c r="I250" s="269"/>
      <c r="J250" s="267"/>
      <c r="K250" s="270"/>
      <c r="L250" s="270"/>
      <c r="M250" s="267"/>
      <c r="N250" s="267"/>
    </row>
    <row r="251" spans="1:14" s="257" customFormat="1" ht="13.2" hidden="1" customHeight="1">
      <c r="B251" s="369" t="str">
        <f>B216</f>
        <v>Эстелайт Сигма Кит Промо светополимер (6шпр*3,8гр) 09.02.2021</v>
      </c>
      <c r="C251" s="370"/>
      <c r="D251" s="370"/>
      <c r="E251" s="370"/>
      <c r="F251" s="370"/>
      <c r="G251" s="371"/>
      <c r="H251" s="325"/>
      <c r="I251" s="326"/>
      <c r="J251" s="326"/>
      <c r="K251" s="326"/>
    </row>
    <row r="252" spans="1:14" s="257" customFormat="1" hidden="1">
      <c r="B252" s="254" t="s">
        <v>958</v>
      </c>
      <c r="C252" s="254" t="s">
        <v>959</v>
      </c>
      <c r="D252" s="254" t="s">
        <v>960</v>
      </c>
      <c r="E252" s="254" t="s">
        <v>961</v>
      </c>
      <c r="F252" s="254" t="s">
        <v>962</v>
      </c>
      <c r="G252" s="254" t="s">
        <v>963</v>
      </c>
      <c r="H252" s="325"/>
      <c r="I252" s="326"/>
      <c r="J252" s="326"/>
      <c r="K252" s="326"/>
    </row>
    <row r="253" spans="1:14" s="257" customFormat="1" hidden="1">
      <c r="B253" s="254" t="s">
        <v>964</v>
      </c>
      <c r="C253" s="250">
        <f>N216</f>
        <v>220</v>
      </c>
      <c r="D253" s="254">
        <f>C253*2</f>
        <v>440</v>
      </c>
      <c r="E253" s="254">
        <f>C253*3</f>
        <v>660</v>
      </c>
      <c r="F253" s="254">
        <f>C253*6</f>
        <v>1320</v>
      </c>
      <c r="G253" s="254">
        <f>C253*5</f>
        <v>1100</v>
      </c>
      <c r="H253" s="325"/>
      <c r="I253" s="326"/>
      <c r="J253" s="326"/>
      <c r="K253" s="326"/>
    </row>
    <row r="254" spans="1:14" s="257" customFormat="1" hidden="1">
      <c r="B254" s="254" t="s">
        <v>958</v>
      </c>
      <c r="C254" s="254" t="s">
        <v>959</v>
      </c>
      <c r="D254" s="254" t="s">
        <v>960</v>
      </c>
      <c r="E254" s="254" t="s">
        <v>961</v>
      </c>
      <c r="F254" s="254" t="s">
        <v>962</v>
      </c>
      <c r="G254" s="254" t="s">
        <v>963</v>
      </c>
      <c r="H254" s="325"/>
      <c r="I254" s="326"/>
      <c r="J254" s="326"/>
      <c r="K254" s="326"/>
    </row>
    <row r="255" spans="1:14" s="257" customFormat="1" hidden="1">
      <c r="B255" s="254" t="s">
        <v>965</v>
      </c>
      <c r="C255" s="319">
        <f>C253*2</f>
        <v>440</v>
      </c>
      <c r="D255" s="319">
        <f>C253*4</f>
        <v>880</v>
      </c>
      <c r="E255" s="319">
        <f>C253*6</f>
        <v>1320</v>
      </c>
      <c r="F255" s="319">
        <f>C253*12</f>
        <v>2640</v>
      </c>
      <c r="G255" s="319">
        <f>C253*10</f>
        <v>2200</v>
      </c>
      <c r="H255" s="325"/>
      <c r="I255" s="326"/>
      <c r="J255" s="326"/>
      <c r="K255" s="326"/>
    </row>
    <row r="256" spans="1:14" s="257" customFormat="1" hidden="1">
      <c r="B256" s="254" t="s">
        <v>958</v>
      </c>
      <c r="C256" s="254" t="s">
        <v>959</v>
      </c>
      <c r="D256" s="254" t="s">
        <v>960</v>
      </c>
      <c r="E256" s="254" t="s">
        <v>961</v>
      </c>
      <c r="F256" s="254" t="s">
        <v>962</v>
      </c>
      <c r="G256" s="254" t="s">
        <v>963</v>
      </c>
      <c r="H256" s="325"/>
      <c r="I256" s="326"/>
      <c r="J256" s="326"/>
      <c r="K256" s="326"/>
    </row>
    <row r="257" spans="2:11" s="257" customFormat="1" hidden="1">
      <c r="B257" s="254" t="s">
        <v>966</v>
      </c>
      <c r="C257" s="319">
        <f>C253*3</f>
        <v>660</v>
      </c>
      <c r="D257" s="319">
        <f>C253*6</f>
        <v>1320</v>
      </c>
      <c r="E257" s="319">
        <f>C253*10</f>
        <v>2200</v>
      </c>
      <c r="F257" s="319">
        <f>C253*18</f>
        <v>3960</v>
      </c>
      <c r="G257" s="319">
        <f>C253*15</f>
        <v>3300</v>
      </c>
      <c r="H257" s="325"/>
      <c r="I257" s="326"/>
      <c r="J257" s="326"/>
      <c r="K257" s="326"/>
    </row>
    <row r="258" spans="2:11" s="257" customFormat="1" hidden="1">
      <c r="C258" s="326"/>
      <c r="D258" s="326"/>
      <c r="E258" s="326"/>
      <c r="F258" s="326"/>
      <c r="G258" s="326"/>
      <c r="H258" s="325"/>
      <c r="I258" s="326"/>
      <c r="J258" s="326"/>
      <c r="K258" s="326"/>
    </row>
    <row r="259" spans="2:11" s="257" customFormat="1" hidden="1">
      <c r="B259" s="369" t="s">
        <v>976</v>
      </c>
      <c r="C259" s="370"/>
      <c r="D259" s="370"/>
      <c r="E259" s="370"/>
      <c r="F259" s="370"/>
      <c r="G259" s="371"/>
      <c r="H259" s="325"/>
      <c r="I259" s="326"/>
      <c r="J259" s="326"/>
      <c r="K259" s="326"/>
    </row>
    <row r="260" spans="2:11" s="257" customFormat="1" hidden="1">
      <c r="B260" s="254" t="s">
        <v>958</v>
      </c>
      <c r="C260" s="254" t="s">
        <v>959</v>
      </c>
      <c r="D260" s="254" t="s">
        <v>960</v>
      </c>
      <c r="E260" s="254" t="s">
        <v>961</v>
      </c>
      <c r="F260" s="254" t="s">
        <v>962</v>
      </c>
      <c r="G260" s="254" t="s">
        <v>963</v>
      </c>
      <c r="H260" s="325"/>
      <c r="I260" s="326"/>
      <c r="J260" s="326"/>
      <c r="K260" s="326"/>
    </row>
    <row r="261" spans="2:11" s="257" customFormat="1" hidden="1">
      <c r="B261" s="254" t="s">
        <v>964</v>
      </c>
      <c r="C261" s="250">
        <f>N180</f>
        <v>420</v>
      </c>
      <c r="D261" s="254">
        <f>C261*2</f>
        <v>840</v>
      </c>
      <c r="E261" s="254">
        <f>C261*3</f>
        <v>1260</v>
      </c>
      <c r="F261" s="254">
        <f>C261*6</f>
        <v>2520</v>
      </c>
      <c r="G261" s="254">
        <f>C261*5</f>
        <v>2100</v>
      </c>
      <c r="H261" s="325"/>
      <c r="I261" s="326"/>
      <c r="J261" s="326"/>
      <c r="K261" s="326"/>
    </row>
    <row r="262" spans="2:11" s="257" customFormat="1" hidden="1">
      <c r="B262" s="254" t="s">
        <v>958</v>
      </c>
      <c r="C262" s="254" t="s">
        <v>959</v>
      </c>
      <c r="D262" s="254" t="s">
        <v>960</v>
      </c>
      <c r="E262" s="254" t="s">
        <v>961</v>
      </c>
      <c r="F262" s="254" t="s">
        <v>962</v>
      </c>
      <c r="G262" s="254" t="s">
        <v>963</v>
      </c>
      <c r="H262" s="325"/>
      <c r="I262" s="326"/>
      <c r="J262" s="326"/>
      <c r="K262" s="326"/>
    </row>
    <row r="263" spans="2:11" s="257" customFormat="1" hidden="1">
      <c r="B263" s="254" t="s">
        <v>965</v>
      </c>
      <c r="C263" s="254">
        <f>C261*2</f>
        <v>840</v>
      </c>
      <c r="D263" s="254">
        <f>C261*4</f>
        <v>1680</v>
      </c>
      <c r="E263" s="254">
        <f>C261*6</f>
        <v>2520</v>
      </c>
      <c r="F263" s="254">
        <f>C261*12</f>
        <v>5040</v>
      </c>
      <c r="G263" s="254">
        <f>C261*10</f>
        <v>4200</v>
      </c>
      <c r="H263" s="325"/>
      <c r="I263" s="326"/>
      <c r="J263" s="326"/>
      <c r="K263" s="326"/>
    </row>
    <row r="264" spans="2:11" s="257" customFormat="1" hidden="1">
      <c r="B264" s="254" t="s">
        <v>958</v>
      </c>
      <c r="C264" s="254" t="s">
        <v>959</v>
      </c>
      <c r="D264" s="254" t="s">
        <v>960</v>
      </c>
      <c r="E264" s="254" t="s">
        <v>961</v>
      </c>
      <c r="F264" s="254" t="s">
        <v>962</v>
      </c>
      <c r="G264" s="254" t="s">
        <v>963</v>
      </c>
      <c r="H264" s="325"/>
      <c r="I264" s="326"/>
      <c r="J264" s="326"/>
      <c r="K264" s="326"/>
    </row>
    <row r="265" spans="2:11" s="257" customFormat="1" hidden="1">
      <c r="B265" s="254" t="s">
        <v>966</v>
      </c>
      <c r="C265" s="254">
        <f>C261*3</f>
        <v>1260</v>
      </c>
      <c r="D265" s="254">
        <f>C261*6</f>
        <v>2520</v>
      </c>
      <c r="E265" s="254">
        <f>C261*10</f>
        <v>4200</v>
      </c>
      <c r="F265" s="254">
        <f>C261*18</f>
        <v>7560</v>
      </c>
      <c r="G265" s="254">
        <f>C261*15</f>
        <v>6300</v>
      </c>
      <c r="H265" s="325"/>
      <c r="I265" s="326"/>
      <c r="J265" s="326"/>
      <c r="K265" s="326"/>
    </row>
    <row r="266" spans="2:11" s="257" customFormat="1" hidden="1">
      <c r="C266" s="326"/>
      <c r="D266" s="326"/>
      <c r="E266" s="326"/>
      <c r="F266" s="326"/>
      <c r="G266" s="326"/>
      <c r="H266" s="325"/>
      <c r="I266" s="326"/>
      <c r="J266" s="326"/>
      <c r="K266" s="326"/>
    </row>
    <row r="267" spans="2:11" s="257" customFormat="1" hidden="1">
      <c r="B267" s="369" t="s">
        <v>953</v>
      </c>
      <c r="C267" s="370"/>
      <c r="D267" s="370"/>
      <c r="E267" s="370"/>
      <c r="F267" s="370"/>
      <c r="G267" s="371"/>
      <c r="H267" s="327" t="s">
        <v>1294</v>
      </c>
      <c r="I267" s="326"/>
      <c r="J267" s="326"/>
      <c r="K267" s="326"/>
    </row>
    <row r="268" spans="2:11" s="257" customFormat="1" hidden="1">
      <c r="B268" s="254" t="s">
        <v>958</v>
      </c>
      <c r="C268" s="254" t="s">
        <v>959</v>
      </c>
      <c r="D268" s="254" t="s">
        <v>960</v>
      </c>
      <c r="E268" s="254" t="s">
        <v>961</v>
      </c>
      <c r="F268" s="254" t="s">
        <v>962</v>
      </c>
      <c r="G268" s="254" t="s">
        <v>963</v>
      </c>
      <c r="H268" s="325"/>
      <c r="I268" s="326"/>
      <c r="J268" s="326"/>
      <c r="K268" s="326"/>
    </row>
    <row r="269" spans="2:11" s="257" customFormat="1" hidden="1">
      <c r="B269" s="254" t="s">
        <v>964</v>
      </c>
      <c r="C269" s="250">
        <f>N216</f>
        <v>220</v>
      </c>
      <c r="D269" s="254">
        <f>C269*2</f>
        <v>440</v>
      </c>
      <c r="E269" s="254">
        <f>C269*3</f>
        <v>660</v>
      </c>
      <c r="F269" s="254">
        <f>C269*6</f>
        <v>1320</v>
      </c>
      <c r="G269" s="254">
        <f>C269*5</f>
        <v>1100</v>
      </c>
      <c r="H269" s="325"/>
      <c r="I269" s="326"/>
      <c r="J269" s="326"/>
      <c r="K269" s="326"/>
    </row>
    <row r="270" spans="2:11" s="257" customFormat="1" hidden="1">
      <c r="B270" s="254" t="s">
        <v>958</v>
      </c>
      <c r="C270" s="254" t="s">
        <v>959</v>
      </c>
      <c r="D270" s="254" t="s">
        <v>960</v>
      </c>
      <c r="E270" s="254" t="s">
        <v>961</v>
      </c>
      <c r="F270" s="254" t="s">
        <v>962</v>
      </c>
      <c r="G270" s="254" t="s">
        <v>963</v>
      </c>
      <c r="H270" s="325"/>
      <c r="I270" s="326"/>
      <c r="J270" s="326"/>
      <c r="K270" s="326"/>
    </row>
    <row r="271" spans="2:11" s="257" customFormat="1" hidden="1">
      <c r="B271" s="254" t="s">
        <v>965</v>
      </c>
      <c r="C271" s="254">
        <f>C269*2</f>
        <v>440</v>
      </c>
      <c r="D271" s="254">
        <f>C269*4</f>
        <v>880</v>
      </c>
      <c r="E271" s="254">
        <f>C269*6</f>
        <v>1320</v>
      </c>
      <c r="F271" s="254">
        <f>C269*12</f>
        <v>2640</v>
      </c>
      <c r="G271" s="254">
        <f>C269*10</f>
        <v>2200</v>
      </c>
      <c r="H271" s="325"/>
      <c r="I271" s="326"/>
      <c r="J271" s="326"/>
      <c r="K271" s="326"/>
    </row>
    <row r="272" spans="2:11" s="257" customFormat="1" hidden="1">
      <c r="B272" s="254" t="s">
        <v>958</v>
      </c>
      <c r="C272" s="254" t="s">
        <v>959</v>
      </c>
      <c r="D272" s="254" t="s">
        <v>960</v>
      </c>
      <c r="E272" s="254" t="s">
        <v>961</v>
      </c>
      <c r="F272" s="254" t="s">
        <v>962</v>
      </c>
      <c r="G272" s="254" t="s">
        <v>963</v>
      </c>
      <c r="H272" s="325"/>
      <c r="I272" s="326"/>
      <c r="J272" s="326"/>
      <c r="K272" s="326"/>
    </row>
    <row r="273" spans="1:14" s="257" customFormat="1" hidden="1">
      <c r="B273" s="254" t="s">
        <v>966</v>
      </c>
      <c r="C273" s="254">
        <f>C269*3</f>
        <v>660</v>
      </c>
      <c r="D273" s="254">
        <f>C269*6</f>
        <v>1320</v>
      </c>
      <c r="E273" s="254">
        <f>C269*10</f>
        <v>2200</v>
      </c>
      <c r="F273" s="254">
        <f>C269*18</f>
        <v>3960</v>
      </c>
      <c r="G273" s="254">
        <f>C269*15</f>
        <v>3300</v>
      </c>
      <c r="H273" s="325"/>
      <c r="I273" s="326"/>
      <c r="J273" s="326"/>
      <c r="K273" s="326"/>
    </row>
    <row r="274" spans="1:14" s="257" customFormat="1" hidden="1">
      <c r="C274" s="326"/>
      <c r="D274" s="326"/>
      <c r="E274" s="326"/>
      <c r="F274" s="326"/>
      <c r="G274" s="326"/>
      <c r="H274" s="325"/>
      <c r="I274" s="326"/>
      <c r="J274" s="326"/>
      <c r="K274" s="326"/>
    </row>
    <row r="275" spans="1:14" s="257" customFormat="1" ht="13.2" hidden="1" customHeight="1">
      <c r="B275" s="369" t="str">
        <f>B221</f>
        <v>Эстелайт Юниверсал Супер Флоу светополимер (1шпр*3,0гр) Япония 20.04.2022</v>
      </c>
      <c r="C275" s="370"/>
      <c r="D275" s="370"/>
      <c r="E275" s="370"/>
      <c r="F275" s="370"/>
      <c r="G275" s="371"/>
      <c r="H275" s="327" t="s">
        <v>1294</v>
      </c>
      <c r="I275" s="326"/>
      <c r="J275" s="326"/>
      <c r="K275" s="326"/>
    </row>
    <row r="276" spans="1:14" s="257" customFormat="1" ht="13.2" hidden="1" customHeight="1">
      <c r="B276" s="254" t="s">
        <v>958</v>
      </c>
      <c r="C276" s="254" t="s">
        <v>959</v>
      </c>
      <c r="D276" s="254" t="s">
        <v>960</v>
      </c>
      <c r="E276" s="254" t="s">
        <v>961</v>
      </c>
      <c r="F276" s="254" t="s">
        <v>962</v>
      </c>
      <c r="G276" s="254" t="s">
        <v>963</v>
      </c>
      <c r="H276" s="325"/>
      <c r="I276" s="326"/>
      <c r="J276" s="326"/>
      <c r="K276" s="326"/>
    </row>
    <row r="277" spans="1:14" s="257" customFormat="1" ht="13.2" hidden="1" customHeight="1">
      <c r="B277" s="254" t="s">
        <v>964</v>
      </c>
      <c r="C277" s="250">
        <f>N221</f>
        <v>490</v>
      </c>
      <c r="D277" s="254">
        <f>C277*2</f>
        <v>980</v>
      </c>
      <c r="E277" s="254">
        <f>C277*3</f>
        <v>1470</v>
      </c>
      <c r="F277" s="254">
        <f>C277*6</f>
        <v>2940</v>
      </c>
      <c r="G277" s="254">
        <f>C277*5</f>
        <v>2450</v>
      </c>
      <c r="H277" s="325"/>
      <c r="I277" s="326"/>
      <c r="J277" s="326"/>
      <c r="K277" s="326"/>
    </row>
    <row r="278" spans="1:14" s="257" customFormat="1" hidden="1">
      <c r="B278" s="254" t="s">
        <v>958</v>
      </c>
      <c r="C278" s="254" t="s">
        <v>959</v>
      </c>
      <c r="D278" s="254" t="s">
        <v>960</v>
      </c>
      <c r="E278" s="254" t="s">
        <v>961</v>
      </c>
      <c r="F278" s="254" t="s">
        <v>962</v>
      </c>
      <c r="G278" s="254" t="s">
        <v>963</v>
      </c>
      <c r="H278" s="325"/>
      <c r="I278" s="326"/>
      <c r="J278" s="326"/>
      <c r="K278" s="326"/>
    </row>
    <row r="279" spans="1:14" s="257" customFormat="1" hidden="1">
      <c r="B279" s="254" t="s">
        <v>965</v>
      </c>
      <c r="C279" s="254">
        <f>C277*2</f>
        <v>980</v>
      </c>
      <c r="D279" s="254">
        <f>C277*4</f>
        <v>1960</v>
      </c>
      <c r="E279" s="254">
        <f>C277*6</f>
        <v>2940</v>
      </c>
      <c r="F279" s="254">
        <f>C277*12</f>
        <v>5880</v>
      </c>
      <c r="G279" s="254">
        <f>C277*10</f>
        <v>4900</v>
      </c>
      <c r="H279" s="325"/>
      <c r="I279" s="326"/>
      <c r="J279" s="326"/>
      <c r="K279" s="326"/>
    </row>
    <row r="280" spans="1:14" s="257" customFormat="1" hidden="1">
      <c r="B280" s="254" t="s">
        <v>958</v>
      </c>
      <c r="C280" s="254" t="s">
        <v>959</v>
      </c>
      <c r="D280" s="254" t="s">
        <v>960</v>
      </c>
      <c r="E280" s="254" t="s">
        <v>961</v>
      </c>
      <c r="F280" s="254" t="s">
        <v>962</v>
      </c>
      <c r="G280" s="254" t="s">
        <v>963</v>
      </c>
      <c r="H280" s="325"/>
      <c r="I280" s="326"/>
      <c r="J280" s="326"/>
      <c r="K280" s="326"/>
    </row>
    <row r="281" spans="1:14" s="257" customFormat="1" hidden="1">
      <c r="B281" s="254" t="s">
        <v>966</v>
      </c>
      <c r="C281" s="254">
        <f>C277*3</f>
        <v>1470</v>
      </c>
      <c r="D281" s="254">
        <f>C277*6</f>
        <v>2940</v>
      </c>
      <c r="E281" s="254">
        <f>C277*10</f>
        <v>4900</v>
      </c>
      <c r="F281" s="254">
        <f>C277*18</f>
        <v>8820</v>
      </c>
      <c r="G281" s="254">
        <f>C277*15</f>
        <v>7350</v>
      </c>
      <c r="H281" s="325"/>
      <c r="I281" s="326"/>
      <c r="J281" s="326"/>
      <c r="K281" s="326"/>
    </row>
    <row r="282" spans="1:14" s="257" customFormat="1" ht="16.2" hidden="1" customHeight="1">
      <c r="A282" s="328"/>
      <c r="B282" s="329"/>
      <c r="C282" s="330"/>
      <c r="D282" s="331"/>
      <c r="E282" s="331"/>
      <c r="F282" s="331"/>
      <c r="G282" s="332"/>
      <c r="H282" s="268"/>
      <c r="I282" s="268"/>
      <c r="J282" s="267"/>
      <c r="K282" s="270"/>
      <c r="L282" s="270"/>
      <c r="M282" s="267"/>
      <c r="N282" s="267"/>
    </row>
    <row r="283" spans="1:14" s="257" customFormat="1" ht="13.2" hidden="1" customHeight="1">
      <c r="B283" s="369" t="str">
        <f>B221</f>
        <v>Эстелайт Юниверсал Супер Флоу светополимер (1шпр*3,0гр) Япония 20.04.2022</v>
      </c>
      <c r="C283" s="370"/>
      <c r="D283" s="370"/>
      <c r="E283" s="370"/>
      <c r="F283" s="370"/>
      <c r="G283" s="371"/>
      <c r="H283" s="327" t="s">
        <v>1294</v>
      </c>
      <c r="I283" s="326"/>
      <c r="J283" s="326"/>
      <c r="K283" s="326"/>
    </row>
    <row r="284" spans="1:14" s="257" customFormat="1" hidden="1">
      <c r="B284" s="254" t="s">
        <v>958</v>
      </c>
      <c r="C284" s="254" t="s">
        <v>959</v>
      </c>
      <c r="D284" s="254" t="s">
        <v>960</v>
      </c>
      <c r="E284" s="254" t="s">
        <v>961</v>
      </c>
      <c r="F284" s="254" t="s">
        <v>962</v>
      </c>
      <c r="G284" s="254" t="s">
        <v>963</v>
      </c>
      <c r="H284" s="325"/>
      <c r="I284" s="326"/>
      <c r="J284" s="326"/>
      <c r="K284" s="326"/>
    </row>
    <row r="285" spans="1:14" s="257" customFormat="1" hidden="1">
      <c r="B285" s="254" t="s">
        <v>964</v>
      </c>
      <c r="C285" s="250">
        <f>N223</f>
        <v>490</v>
      </c>
      <c r="D285" s="254">
        <f>C285*2</f>
        <v>980</v>
      </c>
      <c r="E285" s="254">
        <f>C285*3</f>
        <v>1470</v>
      </c>
      <c r="F285" s="254">
        <f>C285*6</f>
        <v>2940</v>
      </c>
      <c r="G285" s="254">
        <f>C285*5</f>
        <v>2450</v>
      </c>
      <c r="H285" s="325"/>
      <c r="I285" s="326"/>
      <c r="J285" s="326"/>
      <c r="K285" s="326"/>
    </row>
    <row r="286" spans="1:14" s="257" customFormat="1" hidden="1">
      <c r="B286" s="254" t="s">
        <v>958</v>
      </c>
      <c r="C286" s="254" t="s">
        <v>959</v>
      </c>
      <c r="D286" s="254" t="s">
        <v>960</v>
      </c>
      <c r="E286" s="254" t="s">
        <v>961</v>
      </c>
      <c r="F286" s="254" t="s">
        <v>962</v>
      </c>
      <c r="G286" s="254" t="s">
        <v>963</v>
      </c>
      <c r="H286" s="325"/>
      <c r="I286" s="326"/>
      <c r="J286" s="326"/>
      <c r="K286" s="326"/>
    </row>
    <row r="287" spans="1:14" s="257" customFormat="1" hidden="1">
      <c r="B287" s="254" t="s">
        <v>965</v>
      </c>
      <c r="C287" s="254">
        <f>C285*2</f>
        <v>980</v>
      </c>
      <c r="D287" s="254">
        <f>C285*4</f>
        <v>1960</v>
      </c>
      <c r="E287" s="254">
        <f>C285*6</f>
        <v>2940</v>
      </c>
      <c r="F287" s="254">
        <f>C285*12</f>
        <v>5880</v>
      </c>
      <c r="G287" s="254">
        <f>C285*10</f>
        <v>4900</v>
      </c>
      <c r="H287" s="325"/>
      <c r="I287" s="326"/>
      <c r="J287" s="326"/>
      <c r="K287" s="326"/>
    </row>
    <row r="288" spans="1:14" s="257" customFormat="1" hidden="1">
      <c r="B288" s="254" t="s">
        <v>958</v>
      </c>
      <c r="C288" s="254" t="s">
        <v>959</v>
      </c>
      <c r="D288" s="254" t="s">
        <v>960</v>
      </c>
      <c r="E288" s="254" t="s">
        <v>961</v>
      </c>
      <c r="F288" s="254" t="s">
        <v>962</v>
      </c>
      <c r="G288" s="254" t="s">
        <v>963</v>
      </c>
      <c r="H288" s="325"/>
      <c r="I288" s="326"/>
      <c r="J288" s="326"/>
      <c r="K288" s="326"/>
    </row>
    <row r="289" spans="2:11" s="257" customFormat="1" hidden="1">
      <c r="B289" s="254" t="s">
        <v>966</v>
      </c>
      <c r="C289" s="254">
        <f>C285*3</f>
        <v>1470</v>
      </c>
      <c r="D289" s="254">
        <f>C285*6</f>
        <v>2940</v>
      </c>
      <c r="E289" s="254">
        <f>C285*10</f>
        <v>4900</v>
      </c>
      <c r="F289" s="254">
        <f>C285*18</f>
        <v>8820</v>
      </c>
      <c r="G289" s="254">
        <f>C285*15</f>
        <v>7350</v>
      </c>
      <c r="H289" s="325"/>
      <c r="I289" s="326"/>
      <c r="J289" s="326"/>
      <c r="K289" s="326"/>
    </row>
    <row r="290" spans="2:11" s="257" customFormat="1" hidden="1">
      <c r="C290" s="326"/>
      <c r="D290" s="326"/>
      <c r="E290" s="326"/>
      <c r="F290" s="326"/>
      <c r="G290" s="326"/>
      <c r="H290" s="325"/>
      <c r="I290" s="326"/>
      <c r="J290" s="326"/>
      <c r="K290" s="326"/>
    </row>
    <row r="291" spans="2:11" s="257" customFormat="1" ht="13.2" hidden="1" customHeight="1">
      <c r="B291" s="369" t="s">
        <v>1042</v>
      </c>
      <c r="C291" s="370"/>
      <c r="D291" s="370"/>
      <c r="E291" s="370"/>
      <c r="F291" s="370"/>
      <c r="G291" s="371"/>
      <c r="H291" s="327" t="s">
        <v>1294</v>
      </c>
      <c r="I291" s="326"/>
      <c r="J291" s="326"/>
      <c r="K291" s="326"/>
    </row>
    <row r="292" spans="2:11" s="257" customFormat="1" hidden="1">
      <c r="B292" s="254" t="s">
        <v>958</v>
      </c>
      <c r="C292" s="254" t="s">
        <v>959</v>
      </c>
      <c r="D292" s="254" t="s">
        <v>960</v>
      </c>
      <c r="E292" s="254" t="s">
        <v>961</v>
      </c>
      <c r="F292" s="254" t="s">
        <v>962</v>
      </c>
      <c r="G292" s="254" t="s">
        <v>963</v>
      </c>
      <c r="H292" s="325"/>
      <c r="I292" s="326"/>
      <c r="J292" s="326"/>
      <c r="K292" s="326"/>
    </row>
    <row r="293" spans="2:11" s="257" customFormat="1" hidden="1">
      <c r="B293" s="254" t="s">
        <v>964</v>
      </c>
      <c r="C293" s="250">
        <f>N209</f>
        <v>450</v>
      </c>
      <c r="D293" s="254">
        <f>C293*2</f>
        <v>900</v>
      </c>
      <c r="E293" s="254">
        <f>C293*3</f>
        <v>1350</v>
      </c>
      <c r="F293" s="254">
        <f>C293*6</f>
        <v>2700</v>
      </c>
      <c r="G293" s="254">
        <f>C293*5</f>
        <v>2250</v>
      </c>
      <c r="H293" s="325"/>
      <c r="I293" s="326"/>
      <c r="J293" s="326"/>
      <c r="K293" s="326"/>
    </row>
    <row r="294" spans="2:11" s="257" customFormat="1" hidden="1">
      <c r="B294" s="254" t="s">
        <v>958</v>
      </c>
      <c r="C294" s="254" t="s">
        <v>959</v>
      </c>
      <c r="D294" s="254" t="s">
        <v>960</v>
      </c>
      <c r="E294" s="254" t="s">
        <v>961</v>
      </c>
      <c r="F294" s="254" t="s">
        <v>962</v>
      </c>
      <c r="G294" s="254" t="s">
        <v>963</v>
      </c>
      <c r="H294" s="325"/>
      <c r="I294" s="326"/>
      <c r="J294" s="326"/>
      <c r="K294" s="326"/>
    </row>
    <row r="295" spans="2:11" s="257" customFormat="1" hidden="1">
      <c r="B295" s="254" t="s">
        <v>965</v>
      </c>
      <c r="C295" s="254">
        <f>C293*2</f>
        <v>900</v>
      </c>
      <c r="D295" s="254">
        <f>C293*4</f>
        <v>1800</v>
      </c>
      <c r="E295" s="254">
        <f>C293*6</f>
        <v>2700</v>
      </c>
      <c r="F295" s="254">
        <f>C293*12</f>
        <v>5400</v>
      </c>
      <c r="G295" s="254">
        <f>C293*10</f>
        <v>4500</v>
      </c>
      <c r="H295" s="325"/>
      <c r="I295" s="326"/>
      <c r="J295" s="326"/>
      <c r="K295" s="326"/>
    </row>
    <row r="296" spans="2:11" s="257" customFormat="1" hidden="1">
      <c r="B296" s="254" t="s">
        <v>958</v>
      </c>
      <c r="C296" s="254" t="s">
        <v>959</v>
      </c>
      <c r="D296" s="254" t="s">
        <v>960</v>
      </c>
      <c r="E296" s="254" t="s">
        <v>961</v>
      </c>
      <c r="F296" s="254" t="s">
        <v>962</v>
      </c>
      <c r="G296" s="254" t="s">
        <v>963</v>
      </c>
      <c r="H296" s="325"/>
      <c r="I296" s="326"/>
      <c r="J296" s="326"/>
      <c r="K296" s="326"/>
    </row>
    <row r="297" spans="2:11" s="257" customFormat="1" hidden="1">
      <c r="B297" s="254" t="s">
        <v>966</v>
      </c>
      <c r="C297" s="254">
        <f>C293*3</f>
        <v>1350</v>
      </c>
      <c r="D297" s="254">
        <f>C293*6</f>
        <v>2700</v>
      </c>
      <c r="E297" s="254">
        <f>C293*10</f>
        <v>4500</v>
      </c>
      <c r="F297" s="254">
        <f>C293*18</f>
        <v>8100</v>
      </c>
      <c r="G297" s="254">
        <f>C293*15</f>
        <v>6750</v>
      </c>
      <c r="H297" s="325"/>
      <c r="I297" s="326"/>
      <c r="J297" s="326"/>
      <c r="K297" s="326"/>
    </row>
    <row r="298" spans="2:11" s="257" customFormat="1" hidden="1">
      <c r="C298" s="326"/>
      <c r="D298" s="326"/>
      <c r="E298" s="326"/>
      <c r="F298" s="326"/>
      <c r="G298" s="326"/>
      <c r="H298" s="325"/>
      <c r="I298" s="326"/>
      <c r="J298" s="326"/>
      <c r="K298" s="326"/>
    </row>
    <row r="299" spans="2:11" s="257" customFormat="1" ht="13.95" hidden="1" customHeight="1">
      <c r="B299" s="369" t="s">
        <v>1043</v>
      </c>
      <c r="C299" s="370"/>
      <c r="D299" s="370"/>
      <c r="E299" s="370"/>
      <c r="F299" s="370"/>
      <c r="G299" s="371"/>
      <c r="H299" s="327" t="s">
        <v>1294</v>
      </c>
      <c r="I299" s="326"/>
      <c r="J299" s="326"/>
      <c r="K299" s="326"/>
    </row>
    <row r="300" spans="2:11" s="257" customFormat="1" hidden="1">
      <c r="B300" s="254" t="s">
        <v>958</v>
      </c>
      <c r="C300" s="254" t="s">
        <v>959</v>
      </c>
      <c r="D300" s="254" t="s">
        <v>960</v>
      </c>
      <c r="E300" s="254" t="s">
        <v>961</v>
      </c>
      <c r="F300" s="254" t="s">
        <v>962</v>
      </c>
      <c r="G300" s="254" t="s">
        <v>963</v>
      </c>
      <c r="H300" s="325"/>
      <c r="I300" s="326"/>
      <c r="J300" s="326"/>
      <c r="K300" s="326"/>
    </row>
    <row r="301" spans="2:11" s="257" customFormat="1" hidden="1">
      <c r="B301" s="254" t="s">
        <v>967</v>
      </c>
      <c r="C301" s="250">
        <f>N195</f>
        <v>150</v>
      </c>
      <c r="D301" s="254">
        <f>C301*2</f>
        <v>300</v>
      </c>
      <c r="E301" s="254">
        <f>C301*3</f>
        <v>450</v>
      </c>
      <c r="F301" s="254">
        <f>C301*6</f>
        <v>900</v>
      </c>
      <c r="G301" s="254">
        <f>C301*5</f>
        <v>750</v>
      </c>
      <c r="H301" s="325"/>
      <c r="I301" s="326"/>
      <c r="J301" s="326"/>
      <c r="K301" s="326"/>
    </row>
    <row r="302" spans="2:11" s="257" customFormat="1" hidden="1">
      <c r="B302" s="254" t="s">
        <v>958</v>
      </c>
      <c r="C302" s="254" t="s">
        <v>959</v>
      </c>
      <c r="D302" s="254" t="s">
        <v>960</v>
      </c>
      <c r="E302" s="254" t="s">
        <v>961</v>
      </c>
      <c r="F302" s="254" t="s">
        <v>962</v>
      </c>
      <c r="G302" s="254" t="s">
        <v>963</v>
      </c>
      <c r="H302" s="325"/>
      <c r="I302" s="326"/>
      <c r="J302" s="326"/>
      <c r="K302" s="326"/>
    </row>
    <row r="303" spans="2:11" s="257" customFormat="1" hidden="1">
      <c r="B303" s="254" t="s">
        <v>968</v>
      </c>
      <c r="C303" s="254">
        <f>C301*2</f>
        <v>300</v>
      </c>
      <c r="D303" s="254">
        <f>C301*4</f>
        <v>600</v>
      </c>
      <c r="E303" s="254">
        <f>C301*6</f>
        <v>900</v>
      </c>
      <c r="F303" s="254">
        <f>C301*12</f>
        <v>1800</v>
      </c>
      <c r="G303" s="254">
        <f>C301*10</f>
        <v>1500</v>
      </c>
      <c r="H303" s="325"/>
      <c r="I303" s="326"/>
      <c r="J303" s="326"/>
      <c r="K303" s="326"/>
    </row>
    <row r="304" spans="2:11" s="257" customFormat="1" hidden="1">
      <c r="B304" s="254" t="s">
        <v>958</v>
      </c>
      <c r="C304" s="254" t="s">
        <v>959</v>
      </c>
      <c r="D304" s="254" t="s">
        <v>960</v>
      </c>
      <c r="E304" s="254" t="s">
        <v>961</v>
      </c>
      <c r="F304" s="254" t="s">
        <v>962</v>
      </c>
      <c r="G304" s="254" t="s">
        <v>963</v>
      </c>
      <c r="H304" s="325"/>
      <c r="I304" s="326"/>
      <c r="J304" s="326"/>
      <c r="K304" s="326"/>
    </row>
    <row r="305" spans="2:11" s="257" customFormat="1" ht="23.4" hidden="1">
      <c r="B305" s="254" t="s">
        <v>969</v>
      </c>
      <c r="C305" s="254">
        <f>C301*3</f>
        <v>450</v>
      </c>
      <c r="D305" s="254">
        <f>C301*6</f>
        <v>900</v>
      </c>
      <c r="E305" s="254">
        <f>C301*10</f>
        <v>1500</v>
      </c>
      <c r="F305" s="254">
        <f>C301*18</f>
        <v>2700</v>
      </c>
      <c r="G305" s="254">
        <f>C301*15</f>
        <v>2250</v>
      </c>
      <c r="H305" s="325"/>
      <c r="I305" s="326"/>
      <c r="J305" s="326"/>
      <c r="K305" s="326"/>
    </row>
    <row r="306" spans="2:11" s="257" customFormat="1" hidden="1">
      <c r="C306" s="326"/>
      <c r="D306" s="326"/>
      <c r="E306" s="326"/>
      <c r="F306" s="326"/>
      <c r="G306" s="326"/>
      <c r="H306" s="325"/>
      <c r="I306" s="326"/>
      <c r="J306" s="326"/>
      <c r="K306" s="326"/>
    </row>
    <row r="307" spans="2:11" s="257" customFormat="1" hidden="1">
      <c r="B307" s="369" t="s">
        <v>1044</v>
      </c>
      <c r="C307" s="370"/>
      <c r="D307" s="370"/>
      <c r="E307" s="370"/>
      <c r="F307" s="370"/>
      <c r="G307" s="371"/>
      <c r="H307" s="327" t="s">
        <v>1294</v>
      </c>
      <c r="I307" s="326"/>
      <c r="J307" s="326"/>
      <c r="K307" s="326"/>
    </row>
    <row r="308" spans="2:11" s="257" customFormat="1" hidden="1">
      <c r="B308" s="254" t="s">
        <v>958</v>
      </c>
      <c r="C308" s="254" t="s">
        <v>959</v>
      </c>
      <c r="D308" s="254" t="s">
        <v>960</v>
      </c>
      <c r="E308" s="254" t="s">
        <v>961</v>
      </c>
      <c r="F308" s="254" t="s">
        <v>962</v>
      </c>
      <c r="G308" s="254" t="s">
        <v>963</v>
      </c>
      <c r="H308" s="325"/>
      <c r="I308" s="326"/>
      <c r="J308" s="326"/>
      <c r="K308" s="326"/>
    </row>
    <row r="309" spans="2:11" s="257" customFormat="1" hidden="1">
      <c r="B309" s="254" t="s">
        <v>964</v>
      </c>
      <c r="C309" s="250">
        <f>N213</f>
        <v>180</v>
      </c>
      <c r="D309" s="254">
        <f>C309*2</f>
        <v>360</v>
      </c>
      <c r="E309" s="254">
        <f>C309*3</f>
        <v>540</v>
      </c>
      <c r="F309" s="254">
        <f>C309*6</f>
        <v>1080</v>
      </c>
      <c r="G309" s="254">
        <f>C309*5</f>
        <v>900</v>
      </c>
      <c r="H309" s="325"/>
      <c r="I309" s="326"/>
      <c r="J309" s="326"/>
      <c r="K309" s="326"/>
    </row>
    <row r="310" spans="2:11" s="257" customFormat="1" hidden="1">
      <c r="B310" s="254" t="s">
        <v>958</v>
      </c>
      <c r="C310" s="254" t="s">
        <v>959</v>
      </c>
      <c r="D310" s="254" t="s">
        <v>960</v>
      </c>
      <c r="E310" s="254" t="s">
        <v>961</v>
      </c>
      <c r="F310" s="254" t="s">
        <v>962</v>
      </c>
      <c r="G310" s="254" t="s">
        <v>963</v>
      </c>
      <c r="H310" s="325"/>
      <c r="I310" s="326"/>
      <c r="J310" s="326"/>
      <c r="K310" s="326"/>
    </row>
    <row r="311" spans="2:11" s="257" customFormat="1" hidden="1">
      <c r="B311" s="254" t="s">
        <v>965</v>
      </c>
      <c r="C311" s="254">
        <f>C309*2</f>
        <v>360</v>
      </c>
      <c r="D311" s="254">
        <f>C309*4</f>
        <v>720</v>
      </c>
      <c r="E311" s="254">
        <f>C309*6</f>
        <v>1080</v>
      </c>
      <c r="F311" s="254">
        <f>C309*12</f>
        <v>2160</v>
      </c>
      <c r="G311" s="254">
        <f>C309*10</f>
        <v>1800</v>
      </c>
      <c r="H311" s="325"/>
      <c r="I311" s="326"/>
      <c r="J311" s="326"/>
      <c r="K311" s="326"/>
    </row>
    <row r="312" spans="2:11" s="257" customFormat="1" hidden="1">
      <c r="B312" s="254" t="s">
        <v>958</v>
      </c>
      <c r="C312" s="254" t="s">
        <v>959</v>
      </c>
      <c r="D312" s="254" t="s">
        <v>960</v>
      </c>
      <c r="E312" s="254" t="s">
        <v>961</v>
      </c>
      <c r="F312" s="254" t="s">
        <v>962</v>
      </c>
      <c r="G312" s="254" t="s">
        <v>963</v>
      </c>
      <c r="H312" s="325"/>
      <c r="I312" s="326"/>
      <c r="J312" s="326"/>
      <c r="K312" s="326"/>
    </row>
    <row r="313" spans="2:11" s="257" customFormat="1" hidden="1">
      <c r="B313" s="254" t="s">
        <v>966</v>
      </c>
      <c r="C313" s="254">
        <f>C309*3</f>
        <v>540</v>
      </c>
      <c r="D313" s="254">
        <f>C309*6</f>
        <v>1080</v>
      </c>
      <c r="E313" s="254">
        <f>C309*10</f>
        <v>1800</v>
      </c>
      <c r="F313" s="254">
        <f>C309*18</f>
        <v>3240</v>
      </c>
      <c r="G313" s="254">
        <f>C309*15</f>
        <v>2700</v>
      </c>
      <c r="H313" s="325"/>
      <c r="I313" s="326"/>
      <c r="J313" s="326"/>
      <c r="K313" s="326"/>
    </row>
    <row r="314" spans="2:11" s="257" customFormat="1" hidden="1">
      <c r="B314" s="268"/>
      <c r="C314" s="268"/>
      <c r="D314" s="268"/>
      <c r="E314" s="268"/>
      <c r="F314" s="268"/>
      <c r="G314" s="268"/>
      <c r="H314" s="325"/>
      <c r="I314" s="326"/>
      <c r="J314" s="326"/>
      <c r="K314" s="326"/>
    </row>
    <row r="315" spans="2:11" s="257" customFormat="1" ht="13.2" hidden="1" customHeight="1">
      <c r="B315" s="369" t="s">
        <v>934</v>
      </c>
      <c r="C315" s="370"/>
      <c r="D315" s="370"/>
      <c r="E315" s="370"/>
      <c r="F315" s="370"/>
      <c r="G315" s="371"/>
      <c r="H315" s="327" t="s">
        <v>1294</v>
      </c>
      <c r="I315" s="326"/>
      <c r="J315" s="326"/>
      <c r="K315" s="326"/>
    </row>
    <row r="316" spans="2:11" s="257" customFormat="1" hidden="1">
      <c r="B316" s="254" t="s">
        <v>958</v>
      </c>
      <c r="C316" s="254" t="s">
        <v>959</v>
      </c>
      <c r="D316" s="254" t="s">
        <v>960</v>
      </c>
      <c r="E316" s="254" t="s">
        <v>961</v>
      </c>
      <c r="F316" s="254" t="s">
        <v>962</v>
      </c>
      <c r="G316" s="254" t="s">
        <v>963</v>
      </c>
      <c r="H316" s="325"/>
      <c r="I316" s="326"/>
      <c r="J316" s="326"/>
      <c r="K316" s="326"/>
    </row>
    <row r="317" spans="2:11" s="257" customFormat="1" hidden="1">
      <c r="B317" s="254" t="s">
        <v>964</v>
      </c>
      <c r="C317" s="250">
        <f>N198</f>
        <v>5400</v>
      </c>
      <c r="D317" s="254">
        <f>C317*2</f>
        <v>10800</v>
      </c>
      <c r="E317" s="254">
        <f>C317*3</f>
        <v>16200</v>
      </c>
      <c r="F317" s="254">
        <f>C317*6</f>
        <v>32400</v>
      </c>
      <c r="G317" s="254">
        <f>C317*5</f>
        <v>27000</v>
      </c>
      <c r="H317" s="325"/>
      <c r="I317" s="326"/>
      <c r="J317" s="326"/>
      <c r="K317" s="326"/>
    </row>
    <row r="318" spans="2:11" s="257" customFormat="1" hidden="1">
      <c r="B318" s="254" t="s">
        <v>958</v>
      </c>
      <c r="C318" s="254" t="s">
        <v>959</v>
      </c>
      <c r="D318" s="254" t="s">
        <v>960</v>
      </c>
      <c r="E318" s="254" t="s">
        <v>961</v>
      </c>
      <c r="F318" s="254" t="s">
        <v>962</v>
      </c>
      <c r="G318" s="254" t="s">
        <v>963</v>
      </c>
      <c r="H318" s="325"/>
      <c r="I318" s="326"/>
      <c r="J318" s="326"/>
      <c r="K318" s="326"/>
    </row>
    <row r="319" spans="2:11" s="257" customFormat="1" hidden="1">
      <c r="B319" s="254" t="s">
        <v>965</v>
      </c>
      <c r="C319" s="254">
        <f>C317*2</f>
        <v>10800</v>
      </c>
      <c r="D319" s="254">
        <f>C317*4</f>
        <v>21600</v>
      </c>
      <c r="E319" s="254">
        <f>C317*6</f>
        <v>32400</v>
      </c>
      <c r="F319" s="254">
        <f>C317*12</f>
        <v>64800</v>
      </c>
      <c r="G319" s="254">
        <f>C317*10</f>
        <v>54000</v>
      </c>
      <c r="H319" s="325"/>
      <c r="I319" s="326"/>
      <c r="J319" s="326"/>
      <c r="K319" s="326"/>
    </row>
    <row r="320" spans="2:11" s="257" customFormat="1" hidden="1">
      <c r="B320" s="254" t="s">
        <v>958</v>
      </c>
      <c r="C320" s="254" t="s">
        <v>959</v>
      </c>
      <c r="D320" s="254" t="s">
        <v>960</v>
      </c>
      <c r="E320" s="254" t="s">
        <v>961</v>
      </c>
      <c r="F320" s="254" t="s">
        <v>962</v>
      </c>
      <c r="G320" s="254" t="s">
        <v>963</v>
      </c>
      <c r="H320" s="325"/>
      <c r="I320" s="326"/>
      <c r="J320" s="326"/>
      <c r="K320" s="326"/>
    </row>
    <row r="321" spans="2:11" s="257" customFormat="1" hidden="1">
      <c r="B321" s="254" t="s">
        <v>966</v>
      </c>
      <c r="C321" s="254">
        <f>C317*3</f>
        <v>16200</v>
      </c>
      <c r="D321" s="254">
        <f>C317*6</f>
        <v>32400</v>
      </c>
      <c r="E321" s="254">
        <f>C317*10</f>
        <v>54000</v>
      </c>
      <c r="F321" s="254">
        <f>C317*18</f>
        <v>97200</v>
      </c>
      <c r="G321" s="254">
        <f>C317*15</f>
        <v>81000</v>
      </c>
      <c r="H321" s="325"/>
      <c r="I321" s="326"/>
      <c r="J321" s="326"/>
      <c r="K321" s="326"/>
    </row>
    <row r="322" spans="2:11" s="257" customFormat="1" hidden="1">
      <c r="C322" s="326"/>
      <c r="D322" s="326"/>
      <c r="E322" s="326"/>
      <c r="F322" s="326"/>
      <c r="G322" s="326"/>
      <c r="H322" s="325"/>
      <c r="I322" s="326"/>
      <c r="J322" s="326"/>
      <c r="K322" s="326"/>
    </row>
    <row r="323" spans="2:11" s="257" customFormat="1" ht="27.6" hidden="1" customHeight="1">
      <c r="B323" s="369" t="s">
        <v>970</v>
      </c>
      <c r="C323" s="370"/>
      <c r="D323" s="370"/>
      <c r="E323" s="370"/>
      <c r="F323" s="370"/>
      <c r="G323" s="371"/>
      <c r="H323" s="327" t="s">
        <v>1294</v>
      </c>
      <c r="I323" s="326"/>
      <c r="J323" s="326"/>
      <c r="K323" s="326"/>
    </row>
    <row r="324" spans="2:11" s="257" customFormat="1" hidden="1">
      <c r="B324" s="254" t="s">
        <v>958</v>
      </c>
      <c r="C324" s="254" t="s">
        <v>959</v>
      </c>
      <c r="D324" s="254" t="s">
        <v>960</v>
      </c>
      <c r="E324" s="254" t="s">
        <v>961</v>
      </c>
      <c r="F324" s="254" t="s">
        <v>962</v>
      </c>
      <c r="G324" s="254" t="s">
        <v>963</v>
      </c>
      <c r="H324" s="325"/>
      <c r="I324" s="326"/>
      <c r="J324" s="326"/>
      <c r="K324" s="326"/>
    </row>
    <row r="325" spans="2:11" s="257" customFormat="1" hidden="1">
      <c r="B325" s="254" t="s">
        <v>964</v>
      </c>
      <c r="C325" s="250">
        <v>144</v>
      </c>
      <c r="D325" s="254">
        <f>C325*2</f>
        <v>288</v>
      </c>
      <c r="E325" s="254">
        <f>C325*3</f>
        <v>432</v>
      </c>
      <c r="F325" s="254">
        <f>C325*6</f>
        <v>864</v>
      </c>
      <c r="G325" s="254">
        <f>C325*5</f>
        <v>720</v>
      </c>
      <c r="H325" s="325"/>
      <c r="I325" s="326"/>
      <c r="J325" s="326"/>
      <c r="K325" s="326"/>
    </row>
    <row r="326" spans="2:11" s="257" customFormat="1" hidden="1">
      <c r="B326" s="254" t="s">
        <v>958</v>
      </c>
      <c r="C326" s="254" t="s">
        <v>959</v>
      </c>
      <c r="D326" s="254" t="s">
        <v>960</v>
      </c>
      <c r="E326" s="254" t="s">
        <v>961</v>
      </c>
      <c r="F326" s="254" t="s">
        <v>962</v>
      </c>
      <c r="G326" s="254" t="s">
        <v>963</v>
      </c>
      <c r="H326" s="325"/>
      <c r="I326" s="326"/>
      <c r="J326" s="326"/>
      <c r="K326" s="326"/>
    </row>
    <row r="327" spans="2:11" s="257" customFormat="1" hidden="1">
      <c r="B327" s="254" t="s">
        <v>965</v>
      </c>
      <c r="C327" s="254">
        <f>C325*2</f>
        <v>288</v>
      </c>
      <c r="D327" s="254">
        <f>C325*4</f>
        <v>576</v>
      </c>
      <c r="E327" s="254">
        <f>C325*6</f>
        <v>864</v>
      </c>
      <c r="F327" s="254">
        <f>C325*12</f>
        <v>1728</v>
      </c>
      <c r="G327" s="254">
        <f>C325*10</f>
        <v>1440</v>
      </c>
      <c r="H327" s="325"/>
      <c r="I327" s="326"/>
      <c r="J327" s="326"/>
      <c r="K327" s="326"/>
    </row>
    <row r="328" spans="2:11" s="257" customFormat="1" hidden="1">
      <c r="B328" s="254" t="s">
        <v>958</v>
      </c>
      <c r="C328" s="254" t="s">
        <v>959</v>
      </c>
      <c r="D328" s="254" t="s">
        <v>960</v>
      </c>
      <c r="E328" s="254" t="s">
        <v>961</v>
      </c>
      <c r="F328" s="254" t="s">
        <v>962</v>
      </c>
      <c r="G328" s="254" t="s">
        <v>963</v>
      </c>
      <c r="H328" s="325"/>
      <c r="I328" s="326"/>
      <c r="J328" s="326"/>
      <c r="K328" s="326"/>
    </row>
    <row r="329" spans="2:11" s="257" customFormat="1" hidden="1">
      <c r="B329" s="254" t="s">
        <v>966</v>
      </c>
      <c r="C329" s="254">
        <f>C325*3</f>
        <v>432</v>
      </c>
      <c r="D329" s="254">
        <f>C325*6</f>
        <v>864</v>
      </c>
      <c r="E329" s="254">
        <f>C325*10</f>
        <v>1440</v>
      </c>
      <c r="F329" s="254">
        <f>C325*18</f>
        <v>2592</v>
      </c>
      <c r="G329" s="254">
        <f>C325*15</f>
        <v>2160</v>
      </c>
      <c r="H329" s="325"/>
      <c r="I329" s="326"/>
      <c r="J329" s="326"/>
      <c r="K329" s="326"/>
    </row>
    <row r="330" spans="2:11" s="257" customFormat="1" hidden="1">
      <c r="C330" s="326"/>
      <c r="D330" s="326"/>
      <c r="E330" s="326"/>
      <c r="F330" s="326"/>
      <c r="G330" s="326"/>
      <c r="H330" s="325"/>
      <c r="I330" s="326"/>
      <c r="J330" s="326"/>
      <c r="K330" s="326"/>
    </row>
    <row r="331" spans="2:11" s="257" customFormat="1" hidden="1">
      <c r="B331" s="369" t="s">
        <v>1091</v>
      </c>
      <c r="C331" s="370"/>
      <c r="D331" s="370"/>
      <c r="E331" s="370"/>
      <c r="F331" s="370"/>
      <c r="G331" s="371"/>
      <c r="H331" s="327" t="s">
        <v>1294</v>
      </c>
      <c r="I331" s="326"/>
      <c r="J331" s="326"/>
      <c r="K331" s="326"/>
    </row>
    <row r="332" spans="2:11" s="257" customFormat="1" hidden="1">
      <c r="B332" s="254" t="s">
        <v>958</v>
      </c>
      <c r="C332" s="254" t="s">
        <v>959</v>
      </c>
      <c r="D332" s="254" t="s">
        <v>960</v>
      </c>
      <c r="E332" s="254" t="s">
        <v>961</v>
      </c>
      <c r="F332" s="254" t="s">
        <v>962</v>
      </c>
      <c r="G332" s="254" t="s">
        <v>963</v>
      </c>
      <c r="H332" s="325"/>
      <c r="I332" s="326"/>
      <c r="J332" s="326"/>
      <c r="K332" s="326"/>
    </row>
    <row r="333" spans="2:11" s="257" customFormat="1" hidden="1">
      <c r="B333" s="254" t="s">
        <v>964</v>
      </c>
      <c r="C333" s="250">
        <v>260</v>
      </c>
      <c r="D333" s="254">
        <f>C333*2</f>
        <v>520</v>
      </c>
      <c r="E333" s="254">
        <f>C333*3</f>
        <v>780</v>
      </c>
      <c r="F333" s="254">
        <f>C333*6</f>
        <v>1560</v>
      </c>
      <c r="G333" s="254">
        <f>C333*5</f>
        <v>1300</v>
      </c>
      <c r="H333" s="325"/>
      <c r="I333" s="326"/>
      <c r="J333" s="326"/>
      <c r="K333" s="326"/>
    </row>
    <row r="334" spans="2:11" s="257" customFormat="1" hidden="1">
      <c r="B334" s="254" t="s">
        <v>958</v>
      </c>
      <c r="C334" s="254" t="s">
        <v>959</v>
      </c>
      <c r="D334" s="254" t="s">
        <v>960</v>
      </c>
      <c r="E334" s="254" t="s">
        <v>961</v>
      </c>
      <c r="F334" s="254" t="s">
        <v>962</v>
      </c>
      <c r="G334" s="254" t="s">
        <v>963</v>
      </c>
      <c r="H334" s="325"/>
      <c r="I334" s="326"/>
      <c r="J334" s="326"/>
      <c r="K334" s="326"/>
    </row>
    <row r="335" spans="2:11" s="257" customFormat="1" hidden="1">
      <c r="B335" s="254" t="s">
        <v>965</v>
      </c>
      <c r="C335" s="319">
        <f>C333*2</f>
        <v>520</v>
      </c>
      <c r="D335" s="319">
        <f>C333*4</f>
        <v>1040</v>
      </c>
      <c r="E335" s="319">
        <f>C333*6</f>
        <v>1560</v>
      </c>
      <c r="F335" s="319">
        <f>C333*12</f>
        <v>3120</v>
      </c>
      <c r="G335" s="319">
        <f>C333*10</f>
        <v>2600</v>
      </c>
      <c r="H335" s="325"/>
      <c r="I335" s="326"/>
      <c r="J335" s="326"/>
      <c r="K335" s="326"/>
    </row>
    <row r="336" spans="2:11" s="257" customFormat="1" hidden="1">
      <c r="B336" s="254" t="s">
        <v>958</v>
      </c>
      <c r="C336" s="254" t="s">
        <v>959</v>
      </c>
      <c r="D336" s="254" t="s">
        <v>960</v>
      </c>
      <c r="E336" s="254" t="s">
        <v>961</v>
      </c>
      <c r="F336" s="254" t="s">
        <v>962</v>
      </c>
      <c r="G336" s="254" t="s">
        <v>963</v>
      </c>
      <c r="H336" s="325"/>
      <c r="I336" s="326"/>
      <c r="J336" s="326"/>
      <c r="K336" s="326"/>
    </row>
    <row r="337" spans="2:11" s="257" customFormat="1" hidden="1">
      <c r="B337" s="254" t="s">
        <v>966</v>
      </c>
      <c r="C337" s="319">
        <f>C333*3</f>
        <v>780</v>
      </c>
      <c r="D337" s="319">
        <f>C333*6</f>
        <v>1560</v>
      </c>
      <c r="E337" s="319">
        <f>C333*10</f>
        <v>2600</v>
      </c>
      <c r="F337" s="319">
        <f>C333*18</f>
        <v>4680</v>
      </c>
      <c r="G337" s="319">
        <f>C333*15</f>
        <v>3900</v>
      </c>
      <c r="H337" s="325"/>
      <c r="I337" s="326"/>
      <c r="J337" s="326"/>
      <c r="K337" s="326"/>
    </row>
    <row r="338" spans="2:11" s="257" customFormat="1" hidden="1">
      <c r="C338" s="326"/>
      <c r="D338" s="326"/>
      <c r="E338" s="326"/>
      <c r="F338" s="326"/>
      <c r="G338" s="326"/>
      <c r="H338" s="325"/>
      <c r="I338" s="326"/>
      <c r="J338" s="326"/>
      <c r="K338" s="326"/>
    </row>
    <row r="339" spans="2:11" s="257" customFormat="1" hidden="1">
      <c r="B339" s="369" t="s">
        <v>1092</v>
      </c>
      <c r="C339" s="370"/>
      <c r="D339" s="370"/>
      <c r="E339" s="370"/>
      <c r="F339" s="370"/>
      <c r="G339" s="371"/>
      <c r="H339" s="327" t="s">
        <v>1294</v>
      </c>
      <c r="I339" s="326"/>
      <c r="J339" s="326"/>
      <c r="K339" s="326"/>
    </row>
    <row r="340" spans="2:11" s="257" customFormat="1" hidden="1">
      <c r="B340" s="254" t="s">
        <v>958</v>
      </c>
      <c r="C340" s="254" t="s">
        <v>959</v>
      </c>
      <c r="D340" s="254" t="s">
        <v>960</v>
      </c>
      <c r="E340" s="254" t="s">
        <v>961</v>
      </c>
      <c r="F340" s="254" t="s">
        <v>962</v>
      </c>
      <c r="G340" s="254" t="s">
        <v>963</v>
      </c>
      <c r="H340" s="325"/>
      <c r="I340" s="326"/>
      <c r="J340" s="326"/>
      <c r="K340" s="326"/>
    </row>
    <row r="341" spans="2:11" s="257" customFormat="1" hidden="1">
      <c r="B341" s="254" t="s">
        <v>964</v>
      </c>
      <c r="C341" s="250">
        <f>N95</f>
        <v>280</v>
      </c>
      <c r="D341" s="254">
        <f>C341*2</f>
        <v>560</v>
      </c>
      <c r="E341" s="254">
        <f>C341*3</f>
        <v>840</v>
      </c>
      <c r="F341" s="254">
        <f>C341*6</f>
        <v>1680</v>
      </c>
      <c r="G341" s="254">
        <f>C341*5</f>
        <v>1400</v>
      </c>
      <c r="H341" s="325"/>
      <c r="I341" s="326"/>
      <c r="J341" s="326"/>
      <c r="K341" s="326"/>
    </row>
    <row r="342" spans="2:11" s="257" customFormat="1" hidden="1">
      <c r="B342" s="254" t="s">
        <v>958</v>
      </c>
      <c r="C342" s="254" t="s">
        <v>959</v>
      </c>
      <c r="D342" s="254" t="s">
        <v>960</v>
      </c>
      <c r="E342" s="254" t="s">
        <v>961</v>
      </c>
      <c r="F342" s="254" t="s">
        <v>962</v>
      </c>
      <c r="G342" s="254" t="s">
        <v>963</v>
      </c>
      <c r="H342" s="325"/>
      <c r="I342" s="326"/>
      <c r="J342" s="326"/>
      <c r="K342" s="326"/>
    </row>
    <row r="343" spans="2:11" s="257" customFormat="1" hidden="1">
      <c r="B343" s="254" t="s">
        <v>965</v>
      </c>
      <c r="C343" s="254">
        <f>C341*2</f>
        <v>560</v>
      </c>
      <c r="D343" s="254">
        <f>C341*4</f>
        <v>1120</v>
      </c>
      <c r="E343" s="254">
        <f>C341*6</f>
        <v>1680</v>
      </c>
      <c r="F343" s="254">
        <f>C341*12</f>
        <v>3360</v>
      </c>
      <c r="G343" s="254">
        <f>C341*10</f>
        <v>2800</v>
      </c>
      <c r="H343" s="325"/>
      <c r="I343" s="326"/>
      <c r="J343" s="326"/>
      <c r="K343" s="326"/>
    </row>
    <row r="344" spans="2:11" s="257" customFormat="1" hidden="1">
      <c r="B344" s="254" t="s">
        <v>958</v>
      </c>
      <c r="C344" s="254" t="s">
        <v>959</v>
      </c>
      <c r="D344" s="254" t="s">
        <v>960</v>
      </c>
      <c r="E344" s="254" t="s">
        <v>961</v>
      </c>
      <c r="F344" s="254" t="s">
        <v>962</v>
      </c>
      <c r="G344" s="254" t="s">
        <v>963</v>
      </c>
      <c r="H344" s="325"/>
      <c r="I344" s="326"/>
      <c r="J344" s="326"/>
      <c r="K344" s="326"/>
    </row>
    <row r="345" spans="2:11" s="257" customFormat="1" hidden="1">
      <c r="B345" s="254" t="s">
        <v>966</v>
      </c>
      <c r="C345" s="254">
        <f>C341*3</f>
        <v>840</v>
      </c>
      <c r="D345" s="254">
        <f>C341*6</f>
        <v>1680</v>
      </c>
      <c r="E345" s="254">
        <f>C341*10</f>
        <v>2800</v>
      </c>
      <c r="F345" s="254">
        <f>C341*18</f>
        <v>5040</v>
      </c>
      <c r="G345" s="254">
        <f>C341*15</f>
        <v>4200</v>
      </c>
      <c r="H345" s="325"/>
      <c r="I345" s="326"/>
      <c r="J345" s="326"/>
      <c r="K345" s="326"/>
    </row>
    <row r="346" spans="2:11" s="257" customFormat="1" hidden="1">
      <c r="B346" s="333"/>
      <c r="C346" s="331"/>
      <c r="D346" s="331"/>
      <c r="E346" s="331"/>
      <c r="F346" s="331"/>
      <c r="G346" s="332"/>
      <c r="H346" s="325"/>
      <c r="I346" s="326"/>
      <c r="J346" s="326"/>
      <c r="K346" s="326"/>
    </row>
    <row r="347" spans="2:11" s="257" customFormat="1" hidden="1">
      <c r="B347" s="369" t="s">
        <v>1093</v>
      </c>
      <c r="C347" s="370"/>
      <c r="D347" s="370"/>
      <c r="E347" s="370"/>
      <c r="F347" s="370"/>
      <c r="G347" s="371"/>
      <c r="H347" s="327" t="s">
        <v>1294</v>
      </c>
      <c r="I347" s="326"/>
      <c r="J347" s="326"/>
      <c r="K347" s="326"/>
    </row>
    <row r="348" spans="2:11" s="257" customFormat="1" hidden="1">
      <c r="B348" s="254" t="s">
        <v>958</v>
      </c>
      <c r="C348" s="254" t="s">
        <v>959</v>
      </c>
      <c r="D348" s="254" t="s">
        <v>960</v>
      </c>
      <c r="E348" s="254" t="s">
        <v>961</v>
      </c>
      <c r="F348" s="254" t="s">
        <v>962</v>
      </c>
      <c r="G348" s="254" t="s">
        <v>963</v>
      </c>
      <c r="H348" s="325"/>
      <c r="I348" s="326"/>
      <c r="J348" s="326"/>
      <c r="K348" s="326"/>
    </row>
    <row r="349" spans="2:11" s="257" customFormat="1" hidden="1">
      <c r="B349" s="254" t="s">
        <v>964</v>
      </c>
      <c r="C349" s="250">
        <f>N25</f>
        <v>60</v>
      </c>
      <c r="D349" s="254">
        <f>C349*2</f>
        <v>120</v>
      </c>
      <c r="E349" s="254">
        <f>C349*3</f>
        <v>180</v>
      </c>
      <c r="F349" s="254">
        <f>C349*6</f>
        <v>360</v>
      </c>
      <c r="G349" s="254">
        <f>C349*5</f>
        <v>300</v>
      </c>
      <c r="H349" s="325"/>
      <c r="I349" s="326"/>
      <c r="J349" s="326"/>
      <c r="K349" s="326"/>
    </row>
    <row r="350" spans="2:11" s="257" customFormat="1" hidden="1">
      <c r="B350" s="254" t="s">
        <v>958</v>
      </c>
      <c r="C350" s="254" t="s">
        <v>959</v>
      </c>
      <c r="D350" s="254" t="s">
        <v>960</v>
      </c>
      <c r="E350" s="254" t="s">
        <v>961</v>
      </c>
      <c r="F350" s="254" t="s">
        <v>962</v>
      </c>
      <c r="G350" s="254" t="s">
        <v>963</v>
      </c>
      <c r="H350" s="325"/>
      <c r="I350" s="326"/>
      <c r="J350" s="326"/>
      <c r="K350" s="326"/>
    </row>
    <row r="351" spans="2:11" s="257" customFormat="1" hidden="1">
      <c r="B351" s="254" t="s">
        <v>965</v>
      </c>
      <c r="C351" s="319">
        <f>C349*2</f>
        <v>120</v>
      </c>
      <c r="D351" s="319">
        <f>C349*4</f>
        <v>240</v>
      </c>
      <c r="E351" s="319">
        <f>C349*6</f>
        <v>360</v>
      </c>
      <c r="F351" s="319">
        <f>C349*12</f>
        <v>720</v>
      </c>
      <c r="G351" s="319">
        <f>C349*10</f>
        <v>600</v>
      </c>
      <c r="H351" s="325"/>
      <c r="I351" s="326"/>
      <c r="J351" s="326"/>
      <c r="K351" s="326"/>
    </row>
    <row r="352" spans="2:11" s="257" customFormat="1" hidden="1">
      <c r="B352" s="254" t="s">
        <v>958</v>
      </c>
      <c r="C352" s="254" t="s">
        <v>959</v>
      </c>
      <c r="D352" s="254" t="s">
        <v>960</v>
      </c>
      <c r="E352" s="254" t="s">
        <v>961</v>
      </c>
      <c r="F352" s="254" t="s">
        <v>962</v>
      </c>
      <c r="G352" s="254" t="s">
        <v>963</v>
      </c>
      <c r="H352" s="325"/>
      <c r="I352" s="326"/>
      <c r="J352" s="326"/>
      <c r="K352" s="326"/>
    </row>
    <row r="353" spans="2:11" s="257" customFormat="1" hidden="1">
      <c r="B353" s="254" t="s">
        <v>966</v>
      </c>
      <c r="C353" s="254">
        <f>C349*3</f>
        <v>180</v>
      </c>
      <c r="D353" s="254">
        <f>C349*6</f>
        <v>360</v>
      </c>
      <c r="E353" s="254">
        <f>C349*10</f>
        <v>600</v>
      </c>
      <c r="F353" s="254">
        <f>C349*18</f>
        <v>1080</v>
      </c>
      <c r="G353" s="254">
        <f>C349*15</f>
        <v>900</v>
      </c>
      <c r="H353" s="325"/>
      <c r="I353" s="326"/>
      <c r="J353" s="326"/>
      <c r="K353" s="326"/>
    </row>
    <row r="354" spans="2:11" s="257" customFormat="1" hidden="1">
      <c r="C354" s="326"/>
      <c r="D354" s="326"/>
      <c r="E354" s="326"/>
      <c r="F354" s="326"/>
      <c r="G354" s="326"/>
      <c r="H354" s="325"/>
      <c r="I354" s="326"/>
      <c r="J354" s="326"/>
      <c r="K354" s="326"/>
    </row>
    <row r="355" spans="2:11" s="257" customFormat="1" ht="31.95" hidden="1" customHeight="1">
      <c r="B355" s="369" t="s">
        <v>1137</v>
      </c>
      <c r="C355" s="370"/>
      <c r="D355" s="370"/>
      <c r="E355" s="370"/>
      <c r="F355" s="370"/>
      <c r="G355" s="371"/>
      <c r="H355" s="327" t="s">
        <v>1294</v>
      </c>
      <c r="I355" s="326"/>
      <c r="J355" s="326"/>
      <c r="K355" s="326"/>
    </row>
    <row r="356" spans="2:11" s="257" customFormat="1" hidden="1">
      <c r="B356" s="254" t="s">
        <v>958</v>
      </c>
      <c r="C356" s="254" t="s">
        <v>959</v>
      </c>
      <c r="D356" s="254" t="s">
        <v>960</v>
      </c>
      <c r="E356" s="254" t="s">
        <v>961</v>
      </c>
      <c r="F356" s="254" t="s">
        <v>962</v>
      </c>
      <c r="G356" s="254" t="s">
        <v>963</v>
      </c>
      <c r="H356" s="325"/>
      <c r="I356" s="326"/>
      <c r="J356" s="326"/>
      <c r="K356" s="326"/>
    </row>
    <row r="357" spans="2:11" s="257" customFormat="1" hidden="1">
      <c r="B357" s="254" t="s">
        <v>964</v>
      </c>
      <c r="C357" s="250">
        <f>N61</f>
        <v>110</v>
      </c>
      <c r="D357" s="254">
        <f>C357*2</f>
        <v>220</v>
      </c>
      <c r="E357" s="254">
        <f>C357*3</f>
        <v>330</v>
      </c>
      <c r="F357" s="254">
        <f>C357*6</f>
        <v>660</v>
      </c>
      <c r="G357" s="254">
        <f>C357*5</f>
        <v>550</v>
      </c>
      <c r="H357" s="325"/>
      <c r="I357" s="326"/>
      <c r="J357" s="326"/>
      <c r="K357" s="326"/>
    </row>
    <row r="358" spans="2:11" s="257" customFormat="1" hidden="1">
      <c r="B358" s="254" t="s">
        <v>958</v>
      </c>
      <c r="C358" s="254" t="s">
        <v>959</v>
      </c>
      <c r="D358" s="254" t="s">
        <v>960</v>
      </c>
      <c r="E358" s="254" t="s">
        <v>961</v>
      </c>
      <c r="F358" s="254" t="s">
        <v>962</v>
      </c>
      <c r="G358" s="254" t="s">
        <v>963</v>
      </c>
      <c r="H358" s="325"/>
      <c r="I358" s="326"/>
      <c r="J358" s="326"/>
      <c r="K358" s="326"/>
    </row>
    <row r="359" spans="2:11" s="257" customFormat="1" hidden="1">
      <c r="B359" s="254" t="s">
        <v>965</v>
      </c>
      <c r="C359" s="319">
        <f>C357*2</f>
        <v>220</v>
      </c>
      <c r="D359" s="319">
        <f>C357*4</f>
        <v>440</v>
      </c>
      <c r="E359" s="319">
        <f>C357*6</f>
        <v>660</v>
      </c>
      <c r="F359" s="319">
        <f>C357*12</f>
        <v>1320</v>
      </c>
      <c r="G359" s="319">
        <f>C357*10</f>
        <v>1100</v>
      </c>
      <c r="H359" s="325"/>
      <c r="I359" s="326"/>
      <c r="J359" s="326"/>
      <c r="K359" s="326"/>
    </row>
    <row r="360" spans="2:11" s="257" customFormat="1" hidden="1">
      <c r="B360" s="254" t="s">
        <v>958</v>
      </c>
      <c r="C360" s="254" t="s">
        <v>959</v>
      </c>
      <c r="D360" s="254" t="s">
        <v>960</v>
      </c>
      <c r="E360" s="254" t="s">
        <v>961</v>
      </c>
      <c r="F360" s="254" t="s">
        <v>962</v>
      </c>
      <c r="G360" s="254" t="s">
        <v>963</v>
      </c>
      <c r="H360" s="325"/>
      <c r="I360" s="326"/>
      <c r="J360" s="326"/>
      <c r="K360" s="326"/>
    </row>
    <row r="361" spans="2:11" s="257" customFormat="1" hidden="1">
      <c r="B361" s="254" t="s">
        <v>966</v>
      </c>
      <c r="C361" s="319">
        <f>C357*3</f>
        <v>330</v>
      </c>
      <c r="D361" s="319">
        <f>C357*6</f>
        <v>660</v>
      </c>
      <c r="E361" s="319">
        <f>C357*10</f>
        <v>1100</v>
      </c>
      <c r="F361" s="319">
        <f>C357*18</f>
        <v>1980</v>
      </c>
      <c r="G361" s="319">
        <f>C357*15</f>
        <v>1650</v>
      </c>
      <c r="H361" s="325"/>
      <c r="I361" s="326"/>
      <c r="J361" s="326"/>
      <c r="K361" s="326"/>
    </row>
    <row r="362" spans="2:11" s="257" customFormat="1" hidden="1">
      <c r="C362" s="326"/>
      <c r="D362" s="326"/>
      <c r="E362" s="326"/>
      <c r="F362" s="326"/>
      <c r="G362" s="326"/>
      <c r="H362" s="325"/>
      <c r="I362" s="326"/>
      <c r="J362" s="326"/>
      <c r="K362" s="326"/>
    </row>
    <row r="363" spans="2:11" s="257" customFormat="1" ht="13.2" hidden="1" customHeight="1">
      <c r="B363" s="369" t="s">
        <v>1161</v>
      </c>
      <c r="C363" s="370"/>
      <c r="D363" s="370"/>
      <c r="E363" s="370"/>
      <c r="F363" s="370"/>
      <c r="G363" s="371"/>
      <c r="H363" s="327" t="s">
        <v>1294</v>
      </c>
      <c r="I363" s="326"/>
      <c r="J363" s="326"/>
      <c r="K363" s="326"/>
    </row>
    <row r="364" spans="2:11" s="257" customFormat="1" hidden="1">
      <c r="B364" s="254" t="s">
        <v>958</v>
      </c>
      <c r="C364" s="254" t="s">
        <v>959</v>
      </c>
      <c r="D364" s="254" t="s">
        <v>960</v>
      </c>
      <c r="E364" s="254" t="s">
        <v>961</v>
      </c>
      <c r="F364" s="254" t="s">
        <v>962</v>
      </c>
      <c r="G364" s="254" t="s">
        <v>963</v>
      </c>
      <c r="H364" s="325"/>
      <c r="I364" s="326"/>
      <c r="J364" s="326"/>
      <c r="K364" s="326"/>
    </row>
    <row r="365" spans="2:11" s="257" customFormat="1" hidden="1">
      <c r="B365" s="254" t="s">
        <v>964</v>
      </c>
      <c r="C365" s="250">
        <f>N125</f>
        <v>250</v>
      </c>
      <c r="D365" s="254">
        <f>C365*2</f>
        <v>500</v>
      </c>
      <c r="E365" s="254">
        <f>C365*3</f>
        <v>750</v>
      </c>
      <c r="F365" s="254">
        <f>C365*6</f>
        <v>1500</v>
      </c>
      <c r="G365" s="254">
        <f>C365*5</f>
        <v>1250</v>
      </c>
      <c r="H365" s="325"/>
      <c r="I365" s="326"/>
      <c r="J365" s="326"/>
      <c r="K365" s="326"/>
    </row>
    <row r="366" spans="2:11" s="257" customFormat="1" hidden="1">
      <c r="B366" s="254" t="s">
        <v>958</v>
      </c>
      <c r="C366" s="254" t="s">
        <v>959</v>
      </c>
      <c r="D366" s="254" t="s">
        <v>960</v>
      </c>
      <c r="E366" s="254" t="s">
        <v>961</v>
      </c>
      <c r="F366" s="254" t="s">
        <v>962</v>
      </c>
      <c r="G366" s="254" t="s">
        <v>963</v>
      </c>
      <c r="H366" s="325"/>
      <c r="I366" s="326"/>
      <c r="J366" s="326"/>
      <c r="K366" s="326"/>
    </row>
    <row r="367" spans="2:11" s="257" customFormat="1" hidden="1">
      <c r="B367" s="254" t="s">
        <v>965</v>
      </c>
      <c r="C367" s="254">
        <f>C365*2</f>
        <v>500</v>
      </c>
      <c r="D367" s="254">
        <f>C365*4</f>
        <v>1000</v>
      </c>
      <c r="E367" s="254">
        <f>C365*6</f>
        <v>1500</v>
      </c>
      <c r="F367" s="254">
        <f>C365*12</f>
        <v>3000</v>
      </c>
      <c r="G367" s="254">
        <f>C365*10</f>
        <v>2500</v>
      </c>
      <c r="H367" s="325"/>
      <c r="I367" s="326"/>
      <c r="J367" s="326"/>
      <c r="K367" s="326"/>
    </row>
    <row r="368" spans="2:11" s="257" customFormat="1" hidden="1">
      <c r="B368" s="254" t="s">
        <v>958</v>
      </c>
      <c r="C368" s="254" t="s">
        <v>959</v>
      </c>
      <c r="D368" s="254" t="s">
        <v>960</v>
      </c>
      <c r="E368" s="254" t="s">
        <v>961</v>
      </c>
      <c r="F368" s="254" t="s">
        <v>962</v>
      </c>
      <c r="G368" s="254" t="s">
        <v>963</v>
      </c>
      <c r="H368" s="325"/>
      <c r="I368" s="326"/>
      <c r="J368" s="326"/>
      <c r="K368" s="326"/>
    </row>
    <row r="369" spans="2:11" s="257" customFormat="1" hidden="1">
      <c r="B369" s="254" t="s">
        <v>966</v>
      </c>
      <c r="C369" s="254">
        <f>C365*3</f>
        <v>750</v>
      </c>
      <c r="D369" s="254">
        <f>C365*6</f>
        <v>1500</v>
      </c>
      <c r="E369" s="254">
        <f>C365*10</f>
        <v>2500</v>
      </c>
      <c r="F369" s="254">
        <f>C365*18</f>
        <v>4500</v>
      </c>
      <c r="G369" s="254">
        <f>C365*15</f>
        <v>3750</v>
      </c>
      <c r="H369" s="325"/>
      <c r="I369" s="326"/>
      <c r="J369" s="326"/>
      <c r="K369" s="326"/>
    </row>
    <row r="370" spans="2:11" s="257" customFormat="1" hidden="1">
      <c r="C370" s="326"/>
      <c r="D370" s="326"/>
      <c r="E370" s="326"/>
      <c r="F370" s="326"/>
      <c r="G370" s="326"/>
      <c r="H370" s="325"/>
      <c r="I370" s="326"/>
      <c r="J370" s="326"/>
      <c r="K370" s="326"/>
    </row>
    <row r="371" spans="2:11" s="257" customFormat="1" ht="19.2" hidden="1" customHeight="1">
      <c r="B371" s="369" t="str">
        <f>B214</f>
        <v xml:space="preserve">Эстелайт Постериор, светополимер (1шпр*4,2гр) Япония 03.03.2023 </v>
      </c>
      <c r="C371" s="370"/>
      <c r="D371" s="370"/>
      <c r="E371" s="370"/>
      <c r="F371" s="370"/>
      <c r="G371" s="371"/>
      <c r="H371" s="325"/>
      <c r="I371" s="326"/>
      <c r="J371" s="326"/>
      <c r="K371" s="326"/>
    </row>
    <row r="372" spans="2:11" s="257" customFormat="1" hidden="1">
      <c r="B372" s="254" t="s">
        <v>958</v>
      </c>
      <c r="C372" s="250" t="s">
        <v>959</v>
      </c>
      <c r="D372" s="254" t="s">
        <v>960</v>
      </c>
      <c r="E372" s="254" t="s">
        <v>961</v>
      </c>
      <c r="F372" s="254" t="s">
        <v>962</v>
      </c>
      <c r="G372" s="254" t="s">
        <v>963</v>
      </c>
      <c r="H372" s="327" t="s">
        <v>1294</v>
      </c>
      <c r="I372" s="326"/>
      <c r="J372" s="326"/>
      <c r="K372" s="326"/>
    </row>
    <row r="373" spans="2:11" s="257" customFormat="1" hidden="1">
      <c r="B373" s="254" t="s">
        <v>964</v>
      </c>
      <c r="C373" s="254">
        <f>N214</f>
        <v>290</v>
      </c>
      <c r="D373" s="254">
        <f>C373*2</f>
        <v>580</v>
      </c>
      <c r="E373" s="254">
        <f>C373*3</f>
        <v>870</v>
      </c>
      <c r="F373" s="254">
        <f>C373*6</f>
        <v>1740</v>
      </c>
      <c r="G373" s="254">
        <f>C373*5</f>
        <v>1450</v>
      </c>
      <c r="H373" s="325"/>
      <c r="I373" s="326"/>
      <c r="J373" s="326"/>
      <c r="K373" s="326"/>
    </row>
    <row r="374" spans="2:11" s="257" customFormat="1" hidden="1">
      <c r="B374" s="254" t="s">
        <v>958</v>
      </c>
      <c r="C374" s="254" t="s">
        <v>959</v>
      </c>
      <c r="D374" s="254" t="s">
        <v>960</v>
      </c>
      <c r="E374" s="254" t="s">
        <v>961</v>
      </c>
      <c r="F374" s="254" t="s">
        <v>962</v>
      </c>
      <c r="G374" s="254" t="s">
        <v>963</v>
      </c>
      <c r="H374" s="325"/>
      <c r="I374" s="326"/>
      <c r="J374" s="326"/>
      <c r="K374" s="326"/>
    </row>
    <row r="375" spans="2:11" s="257" customFormat="1" hidden="1">
      <c r="B375" s="254" t="s">
        <v>965</v>
      </c>
      <c r="C375" s="319">
        <f>C373*2</f>
        <v>580</v>
      </c>
      <c r="D375" s="319">
        <f>C373*4</f>
        <v>1160</v>
      </c>
      <c r="E375" s="319">
        <f>C373*6</f>
        <v>1740</v>
      </c>
      <c r="F375" s="319">
        <f>C373*12</f>
        <v>3480</v>
      </c>
      <c r="G375" s="319">
        <f>C373*10</f>
        <v>2900</v>
      </c>
      <c r="H375" s="325"/>
      <c r="I375" s="326"/>
      <c r="J375" s="326"/>
      <c r="K375" s="326"/>
    </row>
    <row r="376" spans="2:11" s="257" customFormat="1" hidden="1">
      <c r="B376" s="254" t="s">
        <v>958</v>
      </c>
      <c r="C376" s="254" t="s">
        <v>959</v>
      </c>
      <c r="D376" s="254" t="s">
        <v>960</v>
      </c>
      <c r="E376" s="254" t="s">
        <v>961</v>
      </c>
      <c r="F376" s="254" t="s">
        <v>962</v>
      </c>
      <c r="G376" s="254" t="s">
        <v>963</v>
      </c>
      <c r="H376" s="325"/>
      <c r="I376" s="326"/>
      <c r="J376" s="326"/>
      <c r="K376" s="326"/>
    </row>
    <row r="377" spans="2:11" s="257" customFormat="1" hidden="1">
      <c r="B377" s="254" t="s">
        <v>966</v>
      </c>
      <c r="C377" s="319">
        <f>C373*3</f>
        <v>870</v>
      </c>
      <c r="D377" s="319">
        <f>C373*6</f>
        <v>1740</v>
      </c>
      <c r="E377" s="319">
        <f>C373*10</f>
        <v>2900</v>
      </c>
      <c r="F377" s="319">
        <f>C373*18</f>
        <v>5220</v>
      </c>
      <c r="G377" s="319">
        <f>C373*15</f>
        <v>4350</v>
      </c>
      <c r="H377" s="325"/>
      <c r="I377" s="326"/>
      <c r="J377" s="326"/>
      <c r="K377" s="326"/>
    </row>
    <row r="378" spans="2:11" s="257" customFormat="1" hidden="1">
      <c r="C378" s="326"/>
      <c r="D378" s="326"/>
      <c r="E378" s="326"/>
      <c r="F378" s="326"/>
      <c r="G378" s="326"/>
      <c r="H378" s="325"/>
      <c r="I378" s="326"/>
      <c r="J378" s="326"/>
      <c r="K378" s="326"/>
    </row>
    <row r="379" spans="2:11" s="257" customFormat="1" hidden="1">
      <c r="B379" s="369" t="str">
        <f>B233</f>
        <v>Цемент Maxcem Elite, самоадгезивный, двойного отверждения (Standart Kit , 5 шпр*5 гр) прокладка и пломба, Kerr</v>
      </c>
      <c r="C379" s="370"/>
      <c r="D379" s="370"/>
      <c r="E379" s="370"/>
      <c r="F379" s="370"/>
      <c r="G379" s="371"/>
      <c r="H379" s="327" t="s">
        <v>1294</v>
      </c>
      <c r="I379" s="326"/>
      <c r="J379" s="326"/>
      <c r="K379" s="326"/>
    </row>
    <row r="380" spans="2:11" s="257" customFormat="1" hidden="1">
      <c r="B380" s="254" t="s">
        <v>958</v>
      </c>
      <c r="C380" s="254" t="s">
        <v>959</v>
      </c>
      <c r="D380" s="254" t="s">
        <v>960</v>
      </c>
      <c r="E380" s="254" t="s">
        <v>961</v>
      </c>
      <c r="F380" s="254" t="s">
        <v>962</v>
      </c>
      <c r="G380" s="254" t="s">
        <v>963</v>
      </c>
      <c r="H380" s="325"/>
      <c r="I380" s="326"/>
      <c r="J380" s="326"/>
      <c r="K380" s="326"/>
    </row>
    <row r="381" spans="2:11" s="257" customFormat="1" hidden="1">
      <c r="B381" s="254" t="s">
        <v>964</v>
      </c>
      <c r="C381" s="250">
        <f>N233</f>
        <v>80</v>
      </c>
      <c r="D381" s="254">
        <f>C381*2</f>
        <v>160</v>
      </c>
      <c r="E381" s="254">
        <f>C381*3</f>
        <v>240</v>
      </c>
      <c r="F381" s="254">
        <f>C381*6</f>
        <v>480</v>
      </c>
      <c r="G381" s="254">
        <f>C381*5</f>
        <v>400</v>
      </c>
      <c r="H381" s="325"/>
      <c r="I381" s="326"/>
      <c r="J381" s="326"/>
      <c r="K381" s="326"/>
    </row>
    <row r="382" spans="2:11" s="257" customFormat="1" hidden="1">
      <c r="B382" s="254" t="s">
        <v>958</v>
      </c>
      <c r="C382" s="254" t="s">
        <v>959</v>
      </c>
      <c r="D382" s="254" t="s">
        <v>960</v>
      </c>
      <c r="E382" s="254" t="s">
        <v>961</v>
      </c>
      <c r="F382" s="254" t="s">
        <v>962</v>
      </c>
      <c r="G382" s="254" t="s">
        <v>963</v>
      </c>
      <c r="H382" s="325"/>
      <c r="I382" s="326"/>
      <c r="J382" s="326"/>
      <c r="K382" s="326"/>
    </row>
    <row r="383" spans="2:11" s="257" customFormat="1" hidden="1">
      <c r="B383" s="319" t="s">
        <v>965</v>
      </c>
      <c r="C383" s="319">
        <f>C381*2</f>
        <v>160</v>
      </c>
      <c r="D383" s="319">
        <f>C381*4</f>
        <v>320</v>
      </c>
      <c r="E383" s="319">
        <f>C381*6</f>
        <v>480</v>
      </c>
      <c r="F383" s="319">
        <f>C381*12</f>
        <v>960</v>
      </c>
      <c r="G383" s="319">
        <f>C381*10</f>
        <v>800</v>
      </c>
      <c r="H383" s="325"/>
      <c r="I383" s="326"/>
      <c r="J383" s="326"/>
      <c r="K383" s="326"/>
    </row>
    <row r="384" spans="2:11" s="257" customFormat="1" hidden="1">
      <c r="B384" s="254" t="s">
        <v>958</v>
      </c>
      <c r="C384" s="254" t="s">
        <v>959</v>
      </c>
      <c r="D384" s="254" t="s">
        <v>960</v>
      </c>
      <c r="E384" s="254" t="s">
        <v>961</v>
      </c>
      <c r="F384" s="254" t="s">
        <v>962</v>
      </c>
      <c r="G384" s="254" t="s">
        <v>963</v>
      </c>
      <c r="H384" s="325"/>
      <c r="I384" s="326"/>
      <c r="J384" s="326"/>
      <c r="K384" s="326"/>
    </row>
    <row r="385" spans="2:11" s="257" customFormat="1" hidden="1">
      <c r="B385" s="319" t="s">
        <v>966</v>
      </c>
      <c r="C385" s="319">
        <f>C381*3</f>
        <v>240</v>
      </c>
      <c r="D385" s="319">
        <f>C381*6</f>
        <v>480</v>
      </c>
      <c r="E385" s="319">
        <f>C381*10</f>
        <v>800</v>
      </c>
      <c r="F385" s="319">
        <f>C381*18</f>
        <v>1440</v>
      </c>
      <c r="G385" s="319">
        <f>C381*15</f>
        <v>1200</v>
      </c>
      <c r="H385" s="325"/>
      <c r="I385" s="326"/>
      <c r="J385" s="326"/>
      <c r="K385" s="326"/>
    </row>
    <row r="386" spans="2:11" s="257" customFormat="1" hidden="1">
      <c r="C386" s="326"/>
      <c r="D386" s="326"/>
      <c r="E386" s="326"/>
      <c r="F386" s="326"/>
      <c r="G386" s="326"/>
      <c r="H386" s="325"/>
      <c r="I386" s="326"/>
      <c r="J386" s="326"/>
      <c r="K386" s="326"/>
    </row>
    <row r="387" spans="2:11" s="257" customFormat="1" ht="71.400000000000006" hidden="1">
      <c r="B387" s="369" t="str">
        <f>B222</f>
        <v>Эстелайт Юниверсал Флоу (SuperLov) A4 (1шпр*3,0гр) Токияма, Япония 03.04.2023</v>
      </c>
      <c r="C387" s="370"/>
      <c r="D387" s="370"/>
      <c r="E387" s="370"/>
      <c r="F387" s="370"/>
      <c r="G387" s="371"/>
      <c r="H387" s="325" t="s">
        <v>851</v>
      </c>
      <c r="I387" s="325" t="str">
        <f>B221</f>
        <v>Эстелайт Юниверсал Супер Флоу светополимер (1шпр*3,0гр) Япония 20.04.2022</v>
      </c>
      <c r="J387" s="325">
        <f>N221</f>
        <v>490</v>
      </c>
      <c r="K387" s="326"/>
    </row>
    <row r="388" spans="2:11" s="257" customFormat="1" hidden="1">
      <c r="B388" s="254" t="s">
        <v>958</v>
      </c>
      <c r="C388" s="254" t="s">
        <v>959</v>
      </c>
      <c r="D388" s="254" t="s">
        <v>960</v>
      </c>
      <c r="E388" s="254" t="s">
        <v>961</v>
      </c>
      <c r="F388" s="254" t="s">
        <v>962</v>
      </c>
      <c r="G388" s="254" t="s">
        <v>963</v>
      </c>
      <c r="H388" s="325"/>
      <c r="I388" s="326"/>
      <c r="J388" s="326"/>
      <c r="K388" s="326"/>
    </row>
    <row r="389" spans="2:11" s="257" customFormat="1" hidden="1">
      <c r="B389" s="254" t="s">
        <v>964</v>
      </c>
      <c r="C389" s="250">
        <f>N222</f>
        <v>320</v>
      </c>
      <c r="D389" s="254">
        <f>C389*2</f>
        <v>640</v>
      </c>
      <c r="E389" s="254">
        <f>C389*3</f>
        <v>960</v>
      </c>
      <c r="F389" s="254">
        <f>C389*6</f>
        <v>1920</v>
      </c>
      <c r="G389" s="254">
        <f>C389*5</f>
        <v>1600</v>
      </c>
      <c r="H389" s="325"/>
      <c r="I389" s="326"/>
      <c r="J389" s="326"/>
      <c r="K389" s="326"/>
    </row>
    <row r="390" spans="2:11" s="257" customFormat="1" hidden="1">
      <c r="B390" s="254" t="s">
        <v>958</v>
      </c>
      <c r="C390" s="254" t="s">
        <v>959</v>
      </c>
      <c r="D390" s="254" t="s">
        <v>960</v>
      </c>
      <c r="E390" s="254" t="s">
        <v>961</v>
      </c>
      <c r="F390" s="254" t="s">
        <v>962</v>
      </c>
      <c r="G390" s="254" t="s">
        <v>963</v>
      </c>
      <c r="H390" s="325"/>
      <c r="I390" s="326"/>
      <c r="J390" s="326"/>
      <c r="K390" s="326"/>
    </row>
    <row r="391" spans="2:11" s="257" customFormat="1" hidden="1">
      <c r="B391" s="319" t="s">
        <v>965</v>
      </c>
      <c r="C391" s="319">
        <f>C389*2</f>
        <v>640</v>
      </c>
      <c r="D391" s="319">
        <f>C389*4</f>
        <v>1280</v>
      </c>
      <c r="E391" s="319">
        <f>C389*6</f>
        <v>1920</v>
      </c>
      <c r="F391" s="319">
        <f>C389*12</f>
        <v>3840</v>
      </c>
      <c r="G391" s="319">
        <f>C389*10</f>
        <v>3200</v>
      </c>
      <c r="H391" s="325"/>
      <c r="I391" s="326"/>
      <c r="J391" s="326"/>
      <c r="K391" s="326"/>
    </row>
    <row r="392" spans="2:11" s="257" customFormat="1" hidden="1">
      <c r="B392" s="254" t="s">
        <v>958</v>
      </c>
      <c r="C392" s="254" t="s">
        <v>959</v>
      </c>
      <c r="D392" s="254" t="s">
        <v>960</v>
      </c>
      <c r="E392" s="254" t="s">
        <v>961</v>
      </c>
      <c r="F392" s="254" t="s">
        <v>962</v>
      </c>
      <c r="G392" s="254" t="s">
        <v>963</v>
      </c>
      <c r="H392" s="325"/>
      <c r="I392" s="326"/>
      <c r="J392" s="326"/>
      <c r="K392" s="326"/>
    </row>
    <row r="393" spans="2:11" s="257" customFormat="1" hidden="1">
      <c r="B393" s="319" t="s">
        <v>966</v>
      </c>
      <c r="C393" s="319">
        <f>C389*3</f>
        <v>960</v>
      </c>
      <c r="D393" s="319">
        <f>C389*6</f>
        <v>1920</v>
      </c>
      <c r="E393" s="319">
        <f>C389*10</f>
        <v>3200</v>
      </c>
      <c r="F393" s="319">
        <f>C389*18</f>
        <v>5760</v>
      </c>
      <c r="G393" s="319">
        <f>C389*15</f>
        <v>4800</v>
      </c>
      <c r="H393" s="325"/>
      <c r="I393" s="326"/>
      <c r="J393" s="326"/>
      <c r="K393" s="326"/>
    </row>
    <row r="394" spans="2:11" s="257" customFormat="1" hidden="1">
      <c r="C394" s="326"/>
      <c r="D394" s="326"/>
      <c r="E394" s="326"/>
      <c r="F394" s="326"/>
      <c r="G394" s="326"/>
      <c r="H394" s="325"/>
      <c r="I394" s="326"/>
      <c r="J394" s="326"/>
      <c r="K394" s="326"/>
    </row>
    <row r="395" spans="2:11" s="257" customFormat="1" ht="13.2" hidden="1" customHeight="1">
      <c r="B395" s="369" t="str">
        <f>B226</f>
        <v>Эстелайт Балк Фил А2 (1шпр*3,0гр прокладка и пломбы светоотверждаемые) Токияма, Япония 03.04.2023</v>
      </c>
      <c r="C395" s="370"/>
      <c r="D395" s="370"/>
      <c r="E395" s="370"/>
      <c r="F395" s="370"/>
      <c r="G395" s="371"/>
      <c r="H395" s="327" t="s">
        <v>1294</v>
      </c>
      <c r="I395" s="326"/>
      <c r="J395" s="326"/>
      <c r="K395" s="326"/>
    </row>
    <row r="396" spans="2:11" s="257" customFormat="1" hidden="1">
      <c r="B396" s="254" t="s">
        <v>958</v>
      </c>
      <c r="C396" s="250" t="s">
        <v>959</v>
      </c>
      <c r="D396" s="254" t="s">
        <v>960</v>
      </c>
      <c r="E396" s="254" t="s">
        <v>961</v>
      </c>
      <c r="F396" s="254" t="s">
        <v>962</v>
      </c>
      <c r="G396" s="254" t="s">
        <v>963</v>
      </c>
      <c r="H396" s="325"/>
      <c r="I396" s="326"/>
      <c r="J396" s="326"/>
      <c r="K396" s="326"/>
    </row>
    <row r="397" spans="2:11" s="257" customFormat="1" hidden="1">
      <c r="B397" s="254" t="s">
        <v>964</v>
      </c>
      <c r="C397" s="254">
        <f>N226</f>
        <v>320</v>
      </c>
      <c r="D397" s="254">
        <f>C397*2</f>
        <v>640</v>
      </c>
      <c r="E397" s="254">
        <f>C397*3</f>
        <v>960</v>
      </c>
      <c r="F397" s="254">
        <f>C397*6</f>
        <v>1920</v>
      </c>
      <c r="G397" s="254">
        <f>C397*5</f>
        <v>1600</v>
      </c>
      <c r="H397" s="325"/>
      <c r="I397" s="326"/>
      <c r="J397" s="326"/>
      <c r="K397" s="326"/>
    </row>
    <row r="398" spans="2:11" s="257" customFormat="1" hidden="1">
      <c r="B398" s="254" t="s">
        <v>958</v>
      </c>
      <c r="C398" s="250" t="s">
        <v>959</v>
      </c>
      <c r="D398" s="254" t="s">
        <v>960</v>
      </c>
      <c r="E398" s="254" t="s">
        <v>961</v>
      </c>
      <c r="F398" s="254" t="s">
        <v>962</v>
      </c>
      <c r="G398" s="254" t="s">
        <v>963</v>
      </c>
      <c r="H398" s="325"/>
      <c r="I398" s="326"/>
      <c r="J398" s="326"/>
      <c r="K398" s="326"/>
    </row>
    <row r="399" spans="2:11" s="257" customFormat="1" hidden="1">
      <c r="B399" s="319" t="s">
        <v>965</v>
      </c>
      <c r="C399" s="319">
        <f>C397*2</f>
        <v>640</v>
      </c>
      <c r="D399" s="319">
        <f>C397*4</f>
        <v>1280</v>
      </c>
      <c r="E399" s="319">
        <f>C397*6</f>
        <v>1920</v>
      </c>
      <c r="F399" s="319">
        <f>C397*12</f>
        <v>3840</v>
      </c>
      <c r="G399" s="319">
        <f>C397*10</f>
        <v>3200</v>
      </c>
      <c r="H399" s="325"/>
      <c r="I399" s="326"/>
      <c r="J399" s="326"/>
      <c r="K399" s="326"/>
    </row>
    <row r="400" spans="2:11" s="257" customFormat="1" hidden="1">
      <c r="B400" s="254" t="s">
        <v>958</v>
      </c>
      <c r="C400" s="254" t="s">
        <v>959</v>
      </c>
      <c r="D400" s="254" t="s">
        <v>960</v>
      </c>
      <c r="E400" s="254" t="s">
        <v>961</v>
      </c>
      <c r="F400" s="254" t="s">
        <v>962</v>
      </c>
      <c r="G400" s="254" t="s">
        <v>963</v>
      </c>
      <c r="H400" s="325"/>
      <c r="I400" s="326"/>
      <c r="J400" s="326"/>
      <c r="K400" s="326"/>
    </row>
    <row r="401" spans="2:11" s="257" customFormat="1" hidden="1">
      <c r="B401" s="319" t="s">
        <v>966</v>
      </c>
      <c r="C401" s="319">
        <f>C397*3</f>
        <v>960</v>
      </c>
      <c r="D401" s="319">
        <f>C397*6</f>
        <v>1920</v>
      </c>
      <c r="E401" s="319">
        <f>C397*10</f>
        <v>3200</v>
      </c>
      <c r="F401" s="319">
        <f>C397*18</f>
        <v>5760</v>
      </c>
      <c r="G401" s="319">
        <f>C397*15</f>
        <v>4800</v>
      </c>
      <c r="H401" s="325"/>
      <c r="I401" s="326"/>
      <c r="J401" s="326"/>
      <c r="K401" s="326"/>
    </row>
    <row r="402" spans="2:11" s="257" customFormat="1" hidden="1">
      <c r="C402" s="326"/>
      <c r="D402" s="326"/>
      <c r="E402" s="326"/>
      <c r="F402" s="326"/>
      <c r="G402" s="326"/>
      <c r="H402" s="325"/>
      <c r="I402" s="326"/>
      <c r="J402" s="326"/>
      <c r="K402" s="326"/>
    </row>
    <row r="403" spans="2:11" s="257" customFormat="1" ht="61.2" hidden="1">
      <c r="B403" s="369" t="str">
        <f>B227</f>
        <v>Эстелайт Сигма Квик ОА3  (1шпр*3,8гр) Токияма, Япония 06.04.2024</v>
      </c>
      <c r="C403" s="370"/>
      <c r="D403" s="370"/>
      <c r="E403" s="370"/>
      <c r="F403" s="370"/>
      <c r="G403" s="371"/>
      <c r="H403" s="325" t="s">
        <v>851</v>
      </c>
      <c r="I403" s="325" t="str">
        <f>R227</f>
        <v>Эстелайт Сигма  светополимер (1шпр*3,8гр) Япония 04.03.2022 № КК-1257</v>
      </c>
      <c r="J403" s="325">
        <f>T227</f>
        <v>310</v>
      </c>
      <c r="K403" s="326"/>
    </row>
    <row r="404" spans="2:11" s="257" customFormat="1" hidden="1">
      <c r="B404" s="254" t="s">
        <v>958</v>
      </c>
      <c r="C404" s="254" t="s">
        <v>959</v>
      </c>
      <c r="D404" s="254" t="s">
        <v>960</v>
      </c>
      <c r="E404" s="254" t="s">
        <v>961</v>
      </c>
      <c r="F404" s="254" t="s">
        <v>962</v>
      </c>
      <c r="G404" s="254" t="s">
        <v>963</v>
      </c>
      <c r="H404" s="325"/>
      <c r="I404" s="326"/>
      <c r="J404" s="326"/>
      <c r="K404" s="326"/>
    </row>
    <row r="405" spans="2:11" s="257" customFormat="1" hidden="1">
      <c r="B405" s="254" t="s">
        <v>964</v>
      </c>
      <c r="C405" s="250">
        <f>N227</f>
        <v>240</v>
      </c>
      <c r="D405" s="254">
        <f>C405*2</f>
        <v>480</v>
      </c>
      <c r="E405" s="254">
        <f>C405*3</f>
        <v>720</v>
      </c>
      <c r="F405" s="254">
        <f>C405*6</f>
        <v>1440</v>
      </c>
      <c r="G405" s="254">
        <f>C405*5</f>
        <v>1200</v>
      </c>
      <c r="H405" s="325"/>
      <c r="I405" s="326"/>
      <c r="J405" s="326"/>
      <c r="K405" s="326"/>
    </row>
    <row r="406" spans="2:11" s="257" customFormat="1" hidden="1">
      <c r="B406" s="254" t="s">
        <v>958</v>
      </c>
      <c r="C406" s="254" t="s">
        <v>959</v>
      </c>
      <c r="D406" s="254" t="s">
        <v>960</v>
      </c>
      <c r="E406" s="254" t="s">
        <v>961</v>
      </c>
      <c r="F406" s="254" t="s">
        <v>962</v>
      </c>
      <c r="G406" s="254" t="s">
        <v>963</v>
      </c>
      <c r="H406" s="325"/>
      <c r="I406" s="326"/>
      <c r="J406" s="326"/>
      <c r="K406" s="326"/>
    </row>
    <row r="407" spans="2:11" s="257" customFormat="1" hidden="1">
      <c r="B407" s="319" t="s">
        <v>965</v>
      </c>
      <c r="C407" s="319">
        <f>C405*2</f>
        <v>480</v>
      </c>
      <c r="D407" s="319">
        <f>C405*4</f>
        <v>960</v>
      </c>
      <c r="E407" s="319">
        <f>C405*6</f>
        <v>1440</v>
      </c>
      <c r="F407" s="319">
        <f>C405*12</f>
        <v>2880</v>
      </c>
      <c r="G407" s="319">
        <f>C405*10</f>
        <v>2400</v>
      </c>
      <c r="H407" s="325"/>
      <c r="I407" s="326"/>
      <c r="J407" s="326"/>
      <c r="K407" s="326"/>
    </row>
    <row r="408" spans="2:11" s="257" customFormat="1" hidden="1">
      <c r="B408" s="254" t="s">
        <v>958</v>
      </c>
      <c r="C408" s="254" t="s">
        <v>959</v>
      </c>
      <c r="D408" s="254" t="s">
        <v>960</v>
      </c>
      <c r="E408" s="254" t="s">
        <v>961</v>
      </c>
      <c r="F408" s="254" t="s">
        <v>962</v>
      </c>
      <c r="G408" s="254" t="s">
        <v>963</v>
      </c>
      <c r="H408" s="325"/>
      <c r="I408" s="326"/>
      <c r="J408" s="326"/>
      <c r="K408" s="326"/>
    </row>
    <row r="409" spans="2:11" s="257" customFormat="1" hidden="1">
      <c r="B409" s="319" t="s">
        <v>966</v>
      </c>
      <c r="C409" s="319">
        <f>C405*3</f>
        <v>720</v>
      </c>
      <c r="D409" s="319">
        <f>C405*6</f>
        <v>1440</v>
      </c>
      <c r="E409" s="319">
        <f>C405*10</f>
        <v>2400</v>
      </c>
      <c r="F409" s="319">
        <f>C405*18</f>
        <v>4320</v>
      </c>
      <c r="G409" s="319">
        <f>C405*15</f>
        <v>3600</v>
      </c>
      <c r="H409" s="325"/>
      <c r="I409" s="326"/>
      <c r="J409" s="326"/>
      <c r="K409" s="326"/>
    </row>
    <row r="410" spans="2:11" s="257" customFormat="1" hidden="1">
      <c r="C410" s="326"/>
      <c r="D410" s="326"/>
      <c r="E410" s="326"/>
      <c r="F410" s="326"/>
      <c r="G410" s="326"/>
      <c r="H410" s="325"/>
      <c r="I410" s="326"/>
      <c r="J410" s="326"/>
      <c r="K410" s="326"/>
    </row>
    <row r="411" spans="2:11" s="257" customFormat="1" ht="61.2" hidden="1">
      <c r="B411" s="369" t="str">
        <f>B228</f>
        <v>Эстелайт Сигма Квик ОРА2  (1шпр*3,8гр) Токияма, Япония 06.04.2023</v>
      </c>
      <c r="C411" s="370"/>
      <c r="D411" s="370"/>
      <c r="E411" s="370"/>
      <c r="F411" s="370"/>
      <c r="G411" s="371"/>
      <c r="H411" s="325" t="s">
        <v>851</v>
      </c>
      <c r="I411" s="325" t="s">
        <v>1041</v>
      </c>
      <c r="J411" s="325">
        <v>310</v>
      </c>
      <c r="K411" s="326"/>
    </row>
    <row r="412" spans="2:11" s="257" customFormat="1" hidden="1">
      <c r="B412" s="254" t="s">
        <v>958</v>
      </c>
      <c r="C412" s="254" t="s">
        <v>959</v>
      </c>
      <c r="D412" s="254" t="s">
        <v>960</v>
      </c>
      <c r="E412" s="254" t="s">
        <v>961</v>
      </c>
      <c r="F412" s="254" t="s">
        <v>962</v>
      </c>
      <c r="G412" s="254" t="s">
        <v>963</v>
      </c>
      <c r="H412" s="325"/>
      <c r="I412" s="326"/>
      <c r="J412" s="326"/>
      <c r="K412" s="326"/>
    </row>
    <row r="413" spans="2:11" s="257" customFormat="1" hidden="1">
      <c r="B413" s="254" t="s">
        <v>964</v>
      </c>
      <c r="C413" s="250">
        <f>N228</f>
        <v>260</v>
      </c>
      <c r="D413" s="254">
        <f>C413*2</f>
        <v>520</v>
      </c>
      <c r="E413" s="254">
        <f>C413*3</f>
        <v>780</v>
      </c>
      <c r="F413" s="254">
        <f>C413*6</f>
        <v>1560</v>
      </c>
      <c r="G413" s="254">
        <f>C413*5</f>
        <v>1300</v>
      </c>
      <c r="H413" s="325"/>
      <c r="I413" s="326"/>
      <c r="J413" s="326"/>
      <c r="K413" s="326"/>
    </row>
    <row r="414" spans="2:11" s="257" customFormat="1" hidden="1">
      <c r="B414" s="254" t="s">
        <v>958</v>
      </c>
      <c r="C414" s="254" t="s">
        <v>959</v>
      </c>
      <c r="D414" s="254" t="s">
        <v>960</v>
      </c>
      <c r="E414" s="254" t="s">
        <v>961</v>
      </c>
      <c r="F414" s="254" t="s">
        <v>962</v>
      </c>
      <c r="G414" s="254" t="s">
        <v>963</v>
      </c>
      <c r="H414" s="325"/>
      <c r="I414" s="326"/>
      <c r="J414" s="326"/>
      <c r="K414" s="326"/>
    </row>
    <row r="415" spans="2:11" s="257" customFormat="1" hidden="1">
      <c r="B415" s="319" t="s">
        <v>965</v>
      </c>
      <c r="C415" s="319">
        <f>C413*2</f>
        <v>520</v>
      </c>
      <c r="D415" s="319">
        <f>C413*4</f>
        <v>1040</v>
      </c>
      <c r="E415" s="319">
        <f>C413*6</f>
        <v>1560</v>
      </c>
      <c r="F415" s="319">
        <f>C413*12</f>
        <v>3120</v>
      </c>
      <c r="G415" s="319">
        <f>C413*10</f>
        <v>2600</v>
      </c>
      <c r="H415" s="325"/>
      <c r="I415" s="326"/>
      <c r="J415" s="326"/>
      <c r="K415" s="326"/>
    </row>
    <row r="416" spans="2:11" s="257" customFormat="1" hidden="1">
      <c r="B416" s="254" t="s">
        <v>958</v>
      </c>
      <c r="C416" s="254" t="s">
        <v>959</v>
      </c>
      <c r="D416" s="254" t="s">
        <v>960</v>
      </c>
      <c r="E416" s="254" t="s">
        <v>961</v>
      </c>
      <c r="F416" s="254" t="s">
        <v>962</v>
      </c>
      <c r="G416" s="254" t="s">
        <v>963</v>
      </c>
      <c r="H416" s="325"/>
      <c r="I416" s="326"/>
      <c r="J416" s="326"/>
      <c r="K416" s="326"/>
    </row>
    <row r="417" spans="2:11" s="257" customFormat="1" hidden="1">
      <c r="B417" s="319" t="s">
        <v>966</v>
      </c>
      <c r="C417" s="319">
        <f>C413*3</f>
        <v>780</v>
      </c>
      <c r="D417" s="319">
        <f>C413*6</f>
        <v>1560</v>
      </c>
      <c r="E417" s="319">
        <f>C413*10</f>
        <v>2600</v>
      </c>
      <c r="F417" s="319">
        <f>C413*18</f>
        <v>4680</v>
      </c>
      <c r="G417" s="319">
        <f>C413*15</f>
        <v>3900</v>
      </c>
      <c r="H417" s="325"/>
      <c r="I417" s="326"/>
      <c r="J417" s="326"/>
      <c r="K417" s="326"/>
    </row>
    <row r="418" spans="2:11" s="257" customFormat="1" hidden="1">
      <c r="C418" s="326"/>
      <c r="D418" s="326"/>
      <c r="E418" s="326"/>
      <c r="F418" s="326"/>
      <c r="G418" s="326"/>
      <c r="H418" s="325"/>
      <c r="I418" s="326"/>
      <c r="J418" s="326"/>
      <c r="K418" s="326"/>
    </row>
    <row r="419" spans="2:11" s="257" customFormat="1" ht="61.2" hidden="1">
      <c r="B419" s="369" t="str">
        <f>B229</f>
        <v>Эстелайт Сигма А1  (1шпр*3,8гр) Токияма, Япония 06.04.2023</v>
      </c>
      <c r="C419" s="370"/>
      <c r="D419" s="370"/>
      <c r="E419" s="370"/>
      <c r="F419" s="370"/>
      <c r="G419" s="371"/>
      <c r="H419" s="325" t="s">
        <v>851</v>
      </c>
      <c r="I419" s="325" t="s">
        <v>1041</v>
      </c>
      <c r="J419" s="325">
        <v>310</v>
      </c>
      <c r="K419" s="326"/>
    </row>
    <row r="420" spans="2:11" s="257" customFormat="1" hidden="1">
      <c r="B420" s="254" t="s">
        <v>958</v>
      </c>
      <c r="C420" s="254" t="s">
        <v>959</v>
      </c>
      <c r="D420" s="254" t="s">
        <v>960</v>
      </c>
      <c r="E420" s="254" t="s">
        <v>961</v>
      </c>
      <c r="F420" s="254" t="s">
        <v>962</v>
      </c>
      <c r="G420" s="254" t="s">
        <v>963</v>
      </c>
      <c r="H420" s="325"/>
      <c r="I420" s="326"/>
      <c r="J420" s="326"/>
      <c r="K420" s="326"/>
    </row>
    <row r="421" spans="2:11" s="257" customFormat="1" hidden="1">
      <c r="B421" s="254" t="s">
        <v>964</v>
      </c>
      <c r="C421" s="250">
        <f>N229</f>
        <v>240</v>
      </c>
      <c r="D421" s="254">
        <f>C421*2</f>
        <v>480</v>
      </c>
      <c r="E421" s="254">
        <f>C421*3</f>
        <v>720</v>
      </c>
      <c r="F421" s="254">
        <f>C421*6</f>
        <v>1440</v>
      </c>
      <c r="G421" s="254">
        <f>C421*5</f>
        <v>1200</v>
      </c>
      <c r="H421" s="325"/>
      <c r="I421" s="326"/>
      <c r="J421" s="326"/>
      <c r="K421" s="326"/>
    </row>
    <row r="422" spans="2:11" s="257" customFormat="1" hidden="1">
      <c r="B422" s="254" t="s">
        <v>958</v>
      </c>
      <c r="C422" s="254" t="s">
        <v>959</v>
      </c>
      <c r="D422" s="254" t="s">
        <v>960</v>
      </c>
      <c r="E422" s="254" t="s">
        <v>961</v>
      </c>
      <c r="F422" s="254" t="s">
        <v>962</v>
      </c>
      <c r="G422" s="254" t="s">
        <v>963</v>
      </c>
      <c r="H422" s="325"/>
      <c r="I422" s="326"/>
      <c r="J422" s="326"/>
      <c r="K422" s="326"/>
    </row>
    <row r="423" spans="2:11" s="257" customFormat="1" hidden="1">
      <c r="B423" s="319" t="s">
        <v>965</v>
      </c>
      <c r="C423" s="319">
        <f>C421*2</f>
        <v>480</v>
      </c>
      <c r="D423" s="319">
        <f>C421*4</f>
        <v>960</v>
      </c>
      <c r="E423" s="319">
        <f>C421*6</f>
        <v>1440</v>
      </c>
      <c r="F423" s="319">
        <f>C421*12</f>
        <v>2880</v>
      </c>
      <c r="G423" s="319">
        <f>C421*10</f>
        <v>2400</v>
      </c>
      <c r="H423" s="325"/>
      <c r="I423" s="326"/>
      <c r="J423" s="326"/>
      <c r="K423" s="326"/>
    </row>
    <row r="424" spans="2:11" s="257" customFormat="1" hidden="1">
      <c r="B424" s="254" t="s">
        <v>958</v>
      </c>
      <c r="C424" s="254" t="s">
        <v>959</v>
      </c>
      <c r="D424" s="254" t="s">
        <v>960</v>
      </c>
      <c r="E424" s="254" t="s">
        <v>961</v>
      </c>
      <c r="F424" s="254" t="s">
        <v>962</v>
      </c>
      <c r="G424" s="254" t="s">
        <v>963</v>
      </c>
      <c r="H424" s="325"/>
      <c r="I424" s="326"/>
      <c r="J424" s="326"/>
      <c r="K424" s="326"/>
    </row>
    <row r="425" spans="2:11" s="257" customFormat="1" hidden="1">
      <c r="B425" s="319" t="s">
        <v>966</v>
      </c>
      <c r="C425" s="319">
        <f>C421*3</f>
        <v>720</v>
      </c>
      <c r="D425" s="319">
        <f>C421*6</f>
        <v>1440</v>
      </c>
      <c r="E425" s="319">
        <f>C421*10</f>
        <v>2400</v>
      </c>
      <c r="F425" s="319">
        <f>C421*18</f>
        <v>4320</v>
      </c>
      <c r="G425" s="319">
        <f>C421*15</f>
        <v>3600</v>
      </c>
      <c r="H425" s="325"/>
      <c r="I425" s="326"/>
      <c r="J425" s="326"/>
      <c r="K425" s="326"/>
    </row>
    <row r="426" spans="2:11" s="257" customFormat="1" hidden="1">
      <c r="C426" s="326"/>
      <c r="D426" s="326"/>
      <c r="E426" s="326"/>
      <c r="F426" s="326"/>
      <c r="G426" s="326"/>
      <c r="H426" s="325"/>
      <c r="I426" s="326"/>
      <c r="J426" s="326"/>
      <c r="K426" s="326"/>
    </row>
    <row r="427" spans="2:11" s="257" customFormat="1" ht="61.2" hidden="1">
      <c r="B427" s="369" t="str">
        <f>B230</f>
        <v>Эстелайт Постериор РА2  (1шпр*4,2гр) Токияма, Япония 06.04.2023</v>
      </c>
      <c r="C427" s="370"/>
      <c r="D427" s="370"/>
      <c r="E427" s="370"/>
      <c r="F427" s="370"/>
      <c r="G427" s="371"/>
      <c r="H427" s="325" t="s">
        <v>851</v>
      </c>
      <c r="I427" s="325" t="str">
        <f>R230</f>
        <v xml:space="preserve">Эстелайт Постериор, светополимер (1шпр*4,2гр) Япония 03.03.2023 </v>
      </c>
      <c r="J427" s="325">
        <f>T230</f>
        <v>290</v>
      </c>
      <c r="K427" s="326"/>
    </row>
    <row r="428" spans="2:11" s="257" customFormat="1" hidden="1">
      <c r="B428" s="254" t="s">
        <v>958</v>
      </c>
      <c r="C428" s="254" t="s">
        <v>959</v>
      </c>
      <c r="D428" s="254" t="s">
        <v>960</v>
      </c>
      <c r="E428" s="254" t="s">
        <v>961</v>
      </c>
      <c r="F428" s="254" t="s">
        <v>962</v>
      </c>
      <c r="G428" s="254" t="s">
        <v>963</v>
      </c>
      <c r="H428" s="325"/>
      <c r="I428" s="326"/>
      <c r="J428" s="326"/>
      <c r="K428" s="326"/>
    </row>
    <row r="429" spans="2:11" s="257" customFormat="1" hidden="1">
      <c r="B429" s="254" t="s">
        <v>964</v>
      </c>
      <c r="C429" s="250">
        <f>N230</f>
        <v>240</v>
      </c>
      <c r="D429" s="254">
        <f>C429*2</f>
        <v>480</v>
      </c>
      <c r="E429" s="254">
        <f>C429*3</f>
        <v>720</v>
      </c>
      <c r="F429" s="254">
        <f>C429*6</f>
        <v>1440</v>
      </c>
      <c r="G429" s="254">
        <f>C429*5</f>
        <v>1200</v>
      </c>
      <c r="H429" s="325"/>
      <c r="I429" s="326"/>
      <c r="J429" s="326"/>
      <c r="K429" s="326"/>
    </row>
    <row r="430" spans="2:11" s="257" customFormat="1" hidden="1">
      <c r="B430" s="254" t="s">
        <v>958</v>
      </c>
      <c r="C430" s="254" t="s">
        <v>959</v>
      </c>
      <c r="D430" s="254" t="s">
        <v>960</v>
      </c>
      <c r="E430" s="254" t="s">
        <v>961</v>
      </c>
      <c r="F430" s="254" t="s">
        <v>962</v>
      </c>
      <c r="G430" s="254" t="s">
        <v>963</v>
      </c>
      <c r="H430" s="325"/>
      <c r="I430" s="326"/>
      <c r="J430" s="326"/>
      <c r="K430" s="326"/>
    </row>
    <row r="431" spans="2:11" s="257" customFormat="1" hidden="1">
      <c r="B431" s="319" t="s">
        <v>965</v>
      </c>
      <c r="C431" s="319">
        <f>C429*2</f>
        <v>480</v>
      </c>
      <c r="D431" s="319">
        <f>C429*4</f>
        <v>960</v>
      </c>
      <c r="E431" s="319">
        <f>C429*6</f>
        <v>1440</v>
      </c>
      <c r="F431" s="319">
        <f>C429*12</f>
        <v>2880</v>
      </c>
      <c r="G431" s="319">
        <f>C429*10</f>
        <v>2400</v>
      </c>
      <c r="H431" s="325"/>
      <c r="I431" s="326"/>
      <c r="J431" s="326"/>
      <c r="K431" s="326"/>
    </row>
    <row r="432" spans="2:11" s="257" customFormat="1" hidden="1">
      <c r="B432" s="254" t="s">
        <v>958</v>
      </c>
      <c r="C432" s="254" t="s">
        <v>959</v>
      </c>
      <c r="D432" s="254" t="s">
        <v>960</v>
      </c>
      <c r="E432" s="254" t="s">
        <v>961</v>
      </c>
      <c r="F432" s="254" t="s">
        <v>962</v>
      </c>
      <c r="G432" s="254" t="s">
        <v>963</v>
      </c>
      <c r="H432" s="325"/>
      <c r="I432" s="326"/>
      <c r="J432" s="326"/>
      <c r="K432" s="326"/>
    </row>
    <row r="433" spans="2:11" s="257" customFormat="1" hidden="1">
      <c r="B433" s="319" t="s">
        <v>966</v>
      </c>
      <c r="C433" s="319">
        <f>C429*3</f>
        <v>720</v>
      </c>
      <c r="D433" s="319">
        <f>C429*6</f>
        <v>1440</v>
      </c>
      <c r="E433" s="319">
        <f>C429*10</f>
        <v>2400</v>
      </c>
      <c r="F433" s="319">
        <f>C429*18</f>
        <v>4320</v>
      </c>
      <c r="G433" s="319">
        <f>C429*15</f>
        <v>3600</v>
      </c>
      <c r="H433" s="325"/>
      <c r="I433" s="326"/>
      <c r="J433" s="326"/>
      <c r="K433" s="326"/>
    </row>
    <row r="434" spans="2:11" s="257" customFormat="1" hidden="1">
      <c r="C434" s="326"/>
      <c r="D434" s="326"/>
      <c r="E434" s="326"/>
      <c r="F434" s="326"/>
      <c r="G434" s="326"/>
      <c r="H434" s="325"/>
      <c r="I434" s="326"/>
      <c r="J434" s="326"/>
      <c r="K434" s="326"/>
    </row>
    <row r="435" spans="2:11" s="257" customFormat="1" ht="61.2" hidden="1">
      <c r="B435" s="369" t="str">
        <f>B231</f>
        <v>Эстелайт Постериор РА3  (1шпр*4,2гр) Токияма, Япония 06.04.2023</v>
      </c>
      <c r="C435" s="370"/>
      <c r="D435" s="370"/>
      <c r="E435" s="370"/>
      <c r="F435" s="370"/>
      <c r="G435" s="371"/>
      <c r="H435" s="325" t="s">
        <v>851</v>
      </c>
      <c r="I435" s="325" t="s">
        <v>1296</v>
      </c>
      <c r="J435" s="325">
        <v>290</v>
      </c>
      <c r="K435" s="326"/>
    </row>
    <row r="436" spans="2:11" s="257" customFormat="1" hidden="1">
      <c r="B436" s="254" t="s">
        <v>958</v>
      </c>
      <c r="C436" s="254" t="s">
        <v>959</v>
      </c>
      <c r="D436" s="254" t="s">
        <v>960</v>
      </c>
      <c r="E436" s="254" t="s">
        <v>961</v>
      </c>
      <c r="F436" s="254" t="s">
        <v>962</v>
      </c>
      <c r="G436" s="254" t="s">
        <v>963</v>
      </c>
      <c r="H436" s="325"/>
      <c r="I436" s="326"/>
      <c r="J436" s="326"/>
      <c r="K436" s="326"/>
    </row>
    <row r="437" spans="2:11" s="257" customFormat="1" hidden="1">
      <c r="B437" s="254" t="s">
        <v>964</v>
      </c>
      <c r="C437" s="250">
        <f>N231</f>
        <v>240</v>
      </c>
      <c r="D437" s="254">
        <f>C437*2</f>
        <v>480</v>
      </c>
      <c r="E437" s="254">
        <f>C437*3</f>
        <v>720</v>
      </c>
      <c r="F437" s="254">
        <f>C437*6</f>
        <v>1440</v>
      </c>
      <c r="G437" s="254">
        <f>C437*5</f>
        <v>1200</v>
      </c>
      <c r="H437" s="325"/>
      <c r="I437" s="326"/>
      <c r="J437" s="326"/>
      <c r="K437" s="326"/>
    </row>
    <row r="438" spans="2:11" s="257" customFormat="1" hidden="1">
      <c r="B438" s="254" t="s">
        <v>958</v>
      </c>
      <c r="C438" s="254" t="s">
        <v>959</v>
      </c>
      <c r="D438" s="254" t="s">
        <v>960</v>
      </c>
      <c r="E438" s="254" t="s">
        <v>961</v>
      </c>
      <c r="F438" s="254" t="s">
        <v>962</v>
      </c>
      <c r="G438" s="254" t="s">
        <v>963</v>
      </c>
      <c r="H438" s="325"/>
      <c r="I438" s="326"/>
      <c r="J438" s="326"/>
      <c r="K438" s="326"/>
    </row>
    <row r="439" spans="2:11" s="257" customFormat="1" hidden="1">
      <c r="B439" s="319" t="s">
        <v>965</v>
      </c>
      <c r="C439" s="319">
        <f>C437*2</f>
        <v>480</v>
      </c>
      <c r="D439" s="319">
        <f>C437*4</f>
        <v>960</v>
      </c>
      <c r="E439" s="319">
        <f>C437*6</f>
        <v>1440</v>
      </c>
      <c r="F439" s="319">
        <f>C437*12</f>
        <v>2880</v>
      </c>
      <c r="G439" s="319">
        <f>C437*10</f>
        <v>2400</v>
      </c>
      <c r="H439" s="325"/>
      <c r="I439" s="326"/>
      <c r="J439" s="326"/>
      <c r="K439" s="326"/>
    </row>
    <row r="440" spans="2:11" s="257" customFormat="1" hidden="1">
      <c r="B440" s="254" t="s">
        <v>958</v>
      </c>
      <c r="C440" s="254" t="s">
        <v>959</v>
      </c>
      <c r="D440" s="254" t="s">
        <v>960</v>
      </c>
      <c r="E440" s="254" t="s">
        <v>961</v>
      </c>
      <c r="F440" s="254" t="s">
        <v>962</v>
      </c>
      <c r="G440" s="254" t="s">
        <v>963</v>
      </c>
      <c r="H440" s="325"/>
      <c r="I440" s="326"/>
      <c r="J440" s="326"/>
      <c r="K440" s="326"/>
    </row>
    <row r="441" spans="2:11" s="257" customFormat="1" hidden="1">
      <c r="B441" s="319" t="s">
        <v>966</v>
      </c>
      <c r="C441" s="319">
        <f>C437*3</f>
        <v>720</v>
      </c>
      <c r="D441" s="319">
        <f>C437*6</f>
        <v>1440</v>
      </c>
      <c r="E441" s="319">
        <f>C437*10</f>
        <v>2400</v>
      </c>
      <c r="F441" s="319">
        <f>C437*18</f>
        <v>4320</v>
      </c>
      <c r="G441" s="319">
        <f>C437*15</f>
        <v>3600</v>
      </c>
      <c r="H441" s="325"/>
      <c r="I441" s="326"/>
      <c r="J441" s="326"/>
      <c r="K441" s="326"/>
    </row>
    <row r="442" spans="2:11" s="257" customFormat="1" hidden="1">
      <c r="C442" s="326"/>
      <c r="D442" s="326"/>
      <c r="E442" s="326"/>
      <c r="F442" s="326"/>
      <c r="G442" s="326"/>
      <c r="H442" s="325"/>
      <c r="I442" s="326"/>
      <c r="J442" s="326"/>
      <c r="K442" s="326"/>
    </row>
    <row r="443" spans="2:11" s="257" customFormat="1" ht="52.2" hidden="1" customHeight="1">
      <c r="B443" s="369" t="str">
        <f>B124</f>
        <v>Омнихрома (Omnichroma)  материал композитный (1шпр*4гр) Токияма, Япония 06.04.2023</v>
      </c>
      <c r="C443" s="370"/>
      <c r="D443" s="370"/>
      <c r="E443" s="370"/>
      <c r="F443" s="370"/>
      <c r="G443" s="371"/>
      <c r="H443" s="325" t="s">
        <v>851</v>
      </c>
      <c r="I443" s="325" t="str">
        <f>B125</f>
        <v>Омнихрома (Omnichroma)  светополимер (1шпр*4гр) Япония 18/11/2022  дог 958/22</v>
      </c>
      <c r="J443" s="325">
        <f>N125</f>
        <v>250</v>
      </c>
      <c r="K443" s="326"/>
    </row>
    <row r="444" spans="2:11" s="257" customFormat="1" hidden="1">
      <c r="B444" s="254" t="s">
        <v>958</v>
      </c>
      <c r="C444" s="254" t="s">
        <v>959</v>
      </c>
      <c r="D444" s="254" t="s">
        <v>960</v>
      </c>
      <c r="E444" s="254" t="s">
        <v>961</v>
      </c>
      <c r="F444" s="254" t="s">
        <v>962</v>
      </c>
      <c r="G444" s="254" t="s">
        <v>963</v>
      </c>
      <c r="H444" s="325"/>
      <c r="I444" s="326"/>
      <c r="J444" s="326"/>
      <c r="K444" s="326"/>
    </row>
    <row r="445" spans="2:11" s="257" customFormat="1" hidden="1">
      <c r="B445" s="254" t="s">
        <v>964</v>
      </c>
      <c r="C445" s="250">
        <f>N124</f>
        <v>210</v>
      </c>
      <c r="D445" s="254">
        <f>C445*2</f>
        <v>420</v>
      </c>
      <c r="E445" s="254">
        <f>C445*3</f>
        <v>630</v>
      </c>
      <c r="F445" s="254">
        <f>C445*6</f>
        <v>1260</v>
      </c>
      <c r="G445" s="254">
        <f>C445*5</f>
        <v>1050</v>
      </c>
      <c r="H445" s="325"/>
      <c r="I445" s="326"/>
      <c r="J445" s="326"/>
      <c r="K445" s="326"/>
    </row>
    <row r="446" spans="2:11" s="257" customFormat="1" hidden="1">
      <c r="B446" s="254" t="s">
        <v>958</v>
      </c>
      <c r="C446" s="254" t="s">
        <v>959</v>
      </c>
      <c r="D446" s="254" t="s">
        <v>960</v>
      </c>
      <c r="E446" s="254" t="s">
        <v>961</v>
      </c>
      <c r="F446" s="254" t="s">
        <v>962</v>
      </c>
      <c r="G446" s="254" t="s">
        <v>963</v>
      </c>
      <c r="H446" s="325"/>
      <c r="I446" s="326"/>
      <c r="J446" s="326"/>
      <c r="K446" s="326"/>
    </row>
    <row r="447" spans="2:11" s="257" customFormat="1" hidden="1">
      <c r="B447" s="319" t="s">
        <v>965</v>
      </c>
      <c r="C447" s="319">
        <f>C445*2</f>
        <v>420</v>
      </c>
      <c r="D447" s="319">
        <f>C445*4</f>
        <v>840</v>
      </c>
      <c r="E447" s="319">
        <f>C445*6</f>
        <v>1260</v>
      </c>
      <c r="F447" s="319">
        <f>C445*12</f>
        <v>2520</v>
      </c>
      <c r="G447" s="319">
        <f>C445*10</f>
        <v>2100</v>
      </c>
      <c r="H447" s="325"/>
      <c r="I447" s="326"/>
      <c r="J447" s="326"/>
      <c r="K447" s="326"/>
    </row>
    <row r="448" spans="2:11" s="257" customFormat="1" hidden="1">
      <c r="B448" s="254" t="s">
        <v>958</v>
      </c>
      <c r="C448" s="254" t="s">
        <v>959</v>
      </c>
      <c r="D448" s="254" t="s">
        <v>960</v>
      </c>
      <c r="E448" s="254" t="s">
        <v>961</v>
      </c>
      <c r="F448" s="254" t="s">
        <v>962</v>
      </c>
      <c r="G448" s="254" t="s">
        <v>963</v>
      </c>
      <c r="H448" s="325"/>
      <c r="I448" s="326"/>
      <c r="J448" s="326"/>
      <c r="K448" s="326"/>
    </row>
    <row r="449" spans="1:14" s="257" customFormat="1" hidden="1">
      <c r="B449" s="319" t="s">
        <v>966</v>
      </c>
      <c r="C449" s="319">
        <f>C445*3</f>
        <v>630</v>
      </c>
      <c r="D449" s="319">
        <f>C445*6</f>
        <v>1260</v>
      </c>
      <c r="E449" s="319">
        <f>C445*10</f>
        <v>2100</v>
      </c>
      <c r="F449" s="319">
        <f>C445*18</f>
        <v>3780</v>
      </c>
      <c r="G449" s="319">
        <f>C445*15</f>
        <v>3150</v>
      </c>
      <c r="H449" s="325"/>
      <c r="I449" s="326"/>
      <c r="J449" s="326"/>
      <c r="K449" s="326"/>
    </row>
    <row r="450" spans="1:14" s="322" customFormat="1" ht="69.599999999999994" hidden="1" customHeight="1">
      <c r="A450" s="318"/>
      <c r="B450" s="318" t="s">
        <v>1391</v>
      </c>
      <c r="C450" s="250">
        <v>2417</v>
      </c>
      <c r="D450" s="319">
        <v>20</v>
      </c>
      <c r="E450" s="319">
        <v>2</v>
      </c>
      <c r="F450" s="319">
        <f t="shared" ref="F450" si="89">D450/E450</f>
        <v>10</v>
      </c>
      <c r="G450" s="319">
        <v>0.5</v>
      </c>
      <c r="H450" s="320"/>
      <c r="I450" s="319">
        <f t="shared" ref="I450:I456" si="90">F450*G450</f>
        <v>5</v>
      </c>
      <c r="J450" s="250">
        <f t="shared" ref="J450" si="91">C450/I450</f>
        <v>483.4</v>
      </c>
      <c r="K450" s="321">
        <v>0.5</v>
      </c>
      <c r="L450" s="321">
        <v>0.25</v>
      </c>
      <c r="M450" s="250">
        <f t="shared" ref="M450" si="92">J450+J450*K450+J450*L450</f>
        <v>845.94999999999993</v>
      </c>
      <c r="N450" s="250">
        <f t="shared" ref="N450" si="93">ROUND(M450/10,0)*10</f>
        <v>850</v>
      </c>
    </row>
    <row r="451" spans="1:14" s="322" customFormat="1" ht="61.2" hidden="1" customHeight="1">
      <c r="A451" s="318"/>
      <c r="B451" s="318" t="s">
        <v>1390</v>
      </c>
      <c r="C451" s="250">
        <v>1146</v>
      </c>
      <c r="D451" s="319">
        <v>10</v>
      </c>
      <c r="E451" s="319">
        <v>2</v>
      </c>
      <c r="F451" s="319">
        <f t="shared" ref="F451" si="94">D451/E451</f>
        <v>5</v>
      </c>
      <c r="G451" s="319">
        <v>0.5</v>
      </c>
      <c r="H451" s="320"/>
      <c r="I451" s="319">
        <f t="shared" si="90"/>
        <v>2.5</v>
      </c>
      <c r="J451" s="250">
        <f t="shared" ref="J451" si="95">C451/I451</f>
        <v>458.4</v>
      </c>
      <c r="K451" s="321">
        <v>0.5</v>
      </c>
      <c r="L451" s="321">
        <v>0.25</v>
      </c>
      <c r="M451" s="250">
        <f t="shared" ref="M451" si="96">J451+J451*K451+J451*L451</f>
        <v>802.19999999999993</v>
      </c>
      <c r="N451" s="250">
        <f t="shared" ref="N451" si="97">ROUND(M451/10,0)*10</f>
        <v>800</v>
      </c>
    </row>
    <row r="452" spans="1:14" s="276" customFormat="1" ht="22.8" hidden="1" customHeight="1">
      <c r="A452" s="273"/>
      <c r="B452" s="245" t="s">
        <v>1394</v>
      </c>
      <c r="C452" s="246">
        <v>530</v>
      </c>
      <c r="D452" s="247">
        <v>1</v>
      </c>
      <c r="E452" s="247">
        <v>1</v>
      </c>
      <c r="F452" s="247">
        <f t="shared" ref="F452" si="98">D452/E452</f>
        <v>1</v>
      </c>
      <c r="G452" s="247">
        <v>1</v>
      </c>
      <c r="H452" s="248"/>
      <c r="I452" s="247">
        <f t="shared" si="90"/>
        <v>1</v>
      </c>
      <c r="J452" s="246">
        <f t="shared" ref="J452:J453" si="99">C452/I452</f>
        <v>530</v>
      </c>
      <c r="K452" s="249">
        <v>0.5</v>
      </c>
      <c r="L452" s="249"/>
      <c r="M452" s="246">
        <f t="shared" ref="M452:M453" si="100">J452+J452*K452+J452*L452</f>
        <v>795</v>
      </c>
      <c r="N452" s="246">
        <f t="shared" ref="N452:N453" si="101">ROUND(M452/10,0)*10</f>
        <v>800</v>
      </c>
    </row>
    <row r="453" spans="1:14" s="276" customFormat="1" ht="22.8" hidden="1" customHeight="1">
      <c r="A453" s="273"/>
      <c r="B453" s="245" t="s">
        <v>1395</v>
      </c>
      <c r="C453" s="246">
        <v>2869</v>
      </c>
      <c r="D453" s="247">
        <v>1</v>
      </c>
      <c r="E453" s="247">
        <v>1</v>
      </c>
      <c r="F453" s="247">
        <f t="shared" ref="F453" si="102">D453/E453</f>
        <v>1</v>
      </c>
      <c r="G453" s="247">
        <v>1</v>
      </c>
      <c r="H453" s="248"/>
      <c r="I453" s="247">
        <f t="shared" si="90"/>
        <v>1</v>
      </c>
      <c r="J453" s="246">
        <f t="shared" si="99"/>
        <v>2869</v>
      </c>
      <c r="K453" s="249">
        <v>0.5</v>
      </c>
      <c r="L453" s="249"/>
      <c r="M453" s="246">
        <f t="shared" si="100"/>
        <v>4303.5</v>
      </c>
      <c r="N453" s="246">
        <f t="shared" si="101"/>
        <v>4300</v>
      </c>
    </row>
    <row r="454" spans="1:14" s="276" customFormat="1" ht="22.8" hidden="1" customHeight="1">
      <c r="A454" s="273"/>
      <c r="B454" s="245" t="s">
        <v>1392</v>
      </c>
      <c r="C454" s="246">
        <v>3800</v>
      </c>
      <c r="D454" s="247">
        <v>1</v>
      </c>
      <c r="E454" s="247">
        <v>1</v>
      </c>
      <c r="F454" s="247">
        <f t="shared" ref="F454" si="103">D454/E454</f>
        <v>1</v>
      </c>
      <c r="G454" s="247">
        <v>1</v>
      </c>
      <c r="H454" s="248"/>
      <c r="I454" s="247">
        <f t="shared" si="90"/>
        <v>1</v>
      </c>
      <c r="J454" s="246">
        <f t="shared" ref="J454" si="104">C454/I454</f>
        <v>3800</v>
      </c>
      <c r="K454" s="249">
        <v>0.5</v>
      </c>
      <c r="L454" s="249"/>
      <c r="M454" s="246">
        <f t="shared" ref="M454" si="105">J454+J454*K454+J454*L454</f>
        <v>5700</v>
      </c>
      <c r="N454" s="246">
        <f t="shared" ref="N454" si="106">ROUND(M454/10,0)*10</f>
        <v>5700</v>
      </c>
    </row>
    <row r="455" spans="1:14" s="276" customFormat="1" ht="46.2" hidden="1" customHeight="1">
      <c r="A455" s="273"/>
      <c r="B455" s="245" t="s">
        <v>1393</v>
      </c>
      <c r="C455" s="246">
        <v>600</v>
      </c>
      <c r="D455" s="247">
        <v>1</v>
      </c>
      <c r="E455" s="247">
        <v>1</v>
      </c>
      <c r="F455" s="247">
        <f t="shared" ref="F455" si="107">D455/E455</f>
        <v>1</v>
      </c>
      <c r="G455" s="247">
        <v>1</v>
      </c>
      <c r="H455" s="248"/>
      <c r="I455" s="247">
        <f t="shared" si="90"/>
        <v>1</v>
      </c>
      <c r="J455" s="246">
        <f t="shared" ref="J455" si="108">C455/I455</f>
        <v>600</v>
      </c>
      <c r="K455" s="249">
        <v>0.5</v>
      </c>
      <c r="L455" s="249"/>
      <c r="M455" s="246">
        <f t="shared" ref="M455" si="109">J455+J455*K455+J455*L455</f>
        <v>900</v>
      </c>
      <c r="N455" s="246">
        <f t="shared" ref="N455" si="110">ROUND(M455/10,0)*10</f>
        <v>900</v>
      </c>
    </row>
    <row r="456" spans="1:14" s="276" customFormat="1" ht="22.8" hidden="1" customHeight="1">
      <c r="A456" s="273"/>
      <c r="B456" s="245" t="s">
        <v>1405</v>
      </c>
      <c r="C456" s="246">
        <v>5000</v>
      </c>
      <c r="D456" s="247">
        <v>1</v>
      </c>
      <c r="E456" s="247">
        <v>1</v>
      </c>
      <c r="F456" s="247">
        <f t="shared" ref="F456" si="111">D456/E456</f>
        <v>1</v>
      </c>
      <c r="G456" s="247">
        <v>1</v>
      </c>
      <c r="H456" s="248"/>
      <c r="I456" s="247">
        <f t="shared" si="90"/>
        <v>1</v>
      </c>
      <c r="J456" s="246">
        <f t="shared" ref="J456" si="112">C456/I456</f>
        <v>5000</v>
      </c>
      <c r="K456" s="249"/>
      <c r="L456" s="249">
        <v>0.26</v>
      </c>
      <c r="M456" s="246">
        <f t="shared" ref="M456" si="113">J456+J456*K456+J456*L456</f>
        <v>6300</v>
      </c>
      <c r="N456" s="246">
        <f t="shared" ref="N456" si="114">ROUND(M456/10,0)*10</f>
        <v>6300</v>
      </c>
    </row>
    <row r="457" spans="1:14" s="276" customFormat="1" ht="22.8" hidden="1" customHeight="1">
      <c r="A457" s="273"/>
      <c r="B457" s="245"/>
      <c r="C457" s="246"/>
      <c r="D457" s="247"/>
      <c r="E457" s="247"/>
      <c r="F457" s="247"/>
      <c r="G457" s="247"/>
      <c r="H457" s="248"/>
      <c r="I457" s="247"/>
      <c r="J457" s="246"/>
      <c r="K457" s="249"/>
      <c r="L457" s="249"/>
      <c r="M457" s="246"/>
      <c r="N457" s="246"/>
    </row>
    <row r="458" spans="1:14" s="276" customFormat="1" ht="22.8" hidden="1" customHeight="1">
      <c r="A458" s="273"/>
      <c r="B458" s="245"/>
      <c r="C458" s="246"/>
      <c r="D458" s="247"/>
      <c r="E458" s="247"/>
      <c r="F458" s="247"/>
      <c r="G458" s="247"/>
      <c r="H458" s="248"/>
      <c r="I458" s="247"/>
      <c r="J458" s="246"/>
      <c r="K458" s="249"/>
      <c r="L458" s="249"/>
      <c r="M458" s="246"/>
      <c r="N458" s="246"/>
    </row>
    <row r="459" spans="1:14" s="276" customFormat="1" ht="22.8" hidden="1" customHeight="1">
      <c r="A459" s="273"/>
      <c r="B459" s="245"/>
      <c r="C459" s="246"/>
      <c r="D459" s="247"/>
      <c r="E459" s="247"/>
      <c r="F459" s="247"/>
      <c r="G459" s="247"/>
      <c r="H459" s="248"/>
      <c r="I459" s="247"/>
      <c r="J459" s="246"/>
      <c r="K459" s="249"/>
      <c r="L459" s="249"/>
      <c r="M459" s="246"/>
      <c r="N459" s="246"/>
    </row>
    <row r="460" spans="1:14" s="276" customFormat="1" ht="22.8" hidden="1" customHeight="1">
      <c r="A460" s="273"/>
      <c r="B460" s="273"/>
      <c r="C460" s="244"/>
      <c r="D460" s="243"/>
      <c r="E460" s="243"/>
      <c r="F460" s="243"/>
      <c r="G460" s="243"/>
      <c r="H460" s="274"/>
      <c r="I460" s="243"/>
      <c r="J460" s="244"/>
      <c r="K460" s="275"/>
      <c r="L460" s="275"/>
      <c r="M460" s="244"/>
      <c r="N460" s="244"/>
    </row>
    <row r="461" spans="1:14" hidden="1">
      <c r="B461" s="259" t="s">
        <v>958</v>
      </c>
      <c r="C461" s="259" t="s">
        <v>959</v>
      </c>
      <c r="D461" s="259" t="s">
        <v>960</v>
      </c>
      <c r="E461" s="259" t="s">
        <v>961</v>
      </c>
      <c r="F461" s="259" t="s">
        <v>962</v>
      </c>
      <c r="G461" s="259" t="s">
        <v>963</v>
      </c>
    </row>
    <row r="462" spans="1:14" hidden="1">
      <c r="B462" s="259" t="s">
        <v>964</v>
      </c>
      <c r="C462" s="258">
        <f>N219</f>
        <v>450</v>
      </c>
      <c r="D462" s="259">
        <f>C462*2</f>
        <v>900</v>
      </c>
      <c r="E462" s="259">
        <f>C462*3</f>
        <v>1350</v>
      </c>
      <c r="F462" s="259">
        <f>C462*6</f>
        <v>2700</v>
      </c>
      <c r="G462" s="259">
        <f>C462*5</f>
        <v>2250</v>
      </c>
    </row>
    <row r="463" spans="1:14" hidden="1">
      <c r="B463" s="259" t="s">
        <v>958</v>
      </c>
      <c r="C463" s="259" t="s">
        <v>959</v>
      </c>
      <c r="D463" s="259" t="s">
        <v>960</v>
      </c>
      <c r="E463" s="259" t="s">
        <v>961</v>
      </c>
      <c r="F463" s="259" t="s">
        <v>962</v>
      </c>
      <c r="G463" s="259" t="s">
        <v>963</v>
      </c>
    </row>
    <row r="464" spans="1:14" hidden="1">
      <c r="B464" s="243" t="s">
        <v>965</v>
      </c>
      <c r="C464" s="243">
        <f>C462*2</f>
        <v>900</v>
      </c>
      <c r="D464" s="243">
        <f>C462*4</f>
        <v>1800</v>
      </c>
      <c r="E464" s="243">
        <f>C462*6</f>
        <v>2700</v>
      </c>
      <c r="F464" s="243">
        <f>C462*12</f>
        <v>5400</v>
      </c>
      <c r="G464" s="243">
        <f>C462*10</f>
        <v>4500</v>
      </c>
    </row>
    <row r="465" spans="2:7" hidden="1">
      <c r="B465" s="69" t="s">
        <v>958</v>
      </c>
      <c r="C465" s="69" t="s">
        <v>959</v>
      </c>
      <c r="D465" s="69" t="s">
        <v>960</v>
      </c>
      <c r="E465" s="69" t="s">
        <v>961</v>
      </c>
      <c r="F465" s="69" t="s">
        <v>962</v>
      </c>
      <c r="G465" s="69" t="s">
        <v>963</v>
      </c>
    </row>
    <row r="466" spans="2:7" hidden="1">
      <c r="B466" s="243" t="s">
        <v>966</v>
      </c>
      <c r="C466" s="243">
        <f>C462*3</f>
        <v>1350</v>
      </c>
      <c r="D466" s="243">
        <f>C462*6</f>
        <v>2700</v>
      </c>
      <c r="E466" s="243">
        <f>C462*10</f>
        <v>4500</v>
      </c>
      <c r="F466" s="243">
        <f>C462*18</f>
        <v>8100</v>
      </c>
      <c r="G466" s="243">
        <f>C462*15</f>
        <v>6750</v>
      </c>
    </row>
    <row r="467" spans="2:7" hidden="1"/>
    <row r="468" spans="2:7" hidden="1">
      <c r="B468" s="378" t="str">
        <f>B210</f>
        <v>Эстелайт Астериа светополимер (1шпр*4гр)  Япония 15.05.2023</v>
      </c>
      <c r="C468" s="379"/>
      <c r="D468" s="379"/>
      <c r="E468" s="379"/>
      <c r="F468" s="379"/>
      <c r="G468" s="380"/>
    </row>
    <row r="469" spans="2:7" hidden="1">
      <c r="B469" s="259" t="s">
        <v>958</v>
      </c>
      <c r="C469" s="259" t="s">
        <v>959</v>
      </c>
      <c r="D469" s="259" t="s">
        <v>960</v>
      </c>
      <c r="E469" s="259" t="s">
        <v>961</v>
      </c>
      <c r="F469" s="259" t="s">
        <v>962</v>
      </c>
      <c r="G469" s="259" t="s">
        <v>963</v>
      </c>
    </row>
    <row r="470" spans="2:7" hidden="1">
      <c r="B470" s="259" t="s">
        <v>964</v>
      </c>
      <c r="C470" s="258">
        <f>N210</f>
        <v>390</v>
      </c>
      <c r="D470" s="259">
        <f>C470*2</f>
        <v>780</v>
      </c>
      <c r="E470" s="259">
        <f>C470*3</f>
        <v>1170</v>
      </c>
      <c r="F470" s="259">
        <f>C470*6</f>
        <v>2340</v>
      </c>
      <c r="G470" s="259">
        <f>C470*5</f>
        <v>1950</v>
      </c>
    </row>
    <row r="471" spans="2:7" hidden="1">
      <c r="B471" s="259" t="s">
        <v>958</v>
      </c>
      <c r="C471" s="259" t="s">
        <v>959</v>
      </c>
      <c r="D471" s="259" t="s">
        <v>960</v>
      </c>
      <c r="E471" s="259" t="s">
        <v>961</v>
      </c>
      <c r="F471" s="259" t="s">
        <v>962</v>
      </c>
      <c r="G471" s="259" t="s">
        <v>963</v>
      </c>
    </row>
    <row r="472" spans="2:7" hidden="1">
      <c r="B472" s="243" t="s">
        <v>965</v>
      </c>
      <c r="C472" s="243">
        <f>C470*2</f>
        <v>780</v>
      </c>
      <c r="D472" s="243">
        <f>C470*4</f>
        <v>1560</v>
      </c>
      <c r="E472" s="243">
        <f>C470*6</f>
        <v>2340</v>
      </c>
      <c r="F472" s="243">
        <f>C470*12</f>
        <v>4680</v>
      </c>
      <c r="G472" s="243">
        <f>C470*10</f>
        <v>3900</v>
      </c>
    </row>
    <row r="473" spans="2:7" hidden="1">
      <c r="B473" s="69" t="s">
        <v>958</v>
      </c>
      <c r="C473" s="69" t="s">
        <v>959</v>
      </c>
      <c r="D473" s="69" t="s">
        <v>960</v>
      </c>
      <c r="E473" s="69" t="s">
        <v>961</v>
      </c>
      <c r="F473" s="69" t="s">
        <v>962</v>
      </c>
      <c r="G473" s="69" t="s">
        <v>963</v>
      </c>
    </row>
    <row r="474" spans="2:7" hidden="1">
      <c r="B474" s="243" t="s">
        <v>966</v>
      </c>
      <c r="C474" s="243">
        <f>C470*3</f>
        <v>1170</v>
      </c>
      <c r="D474" s="243">
        <f>C470*6</f>
        <v>2340</v>
      </c>
      <c r="E474" s="243">
        <f>C470*10</f>
        <v>3900</v>
      </c>
      <c r="F474" s="243">
        <f>C470*18</f>
        <v>7020</v>
      </c>
      <c r="G474" s="243">
        <f>C470*15</f>
        <v>5850</v>
      </c>
    </row>
    <row r="475" spans="2:7" hidden="1"/>
    <row r="476" spans="2:7" hidden="1"/>
  </sheetData>
  <sortState ref="A11:N206">
    <sortCondition ref="B11:B206"/>
  </sortState>
  <mergeCells count="32">
    <mergeCell ref="B468:G468"/>
    <mergeCell ref="B411:G411"/>
    <mergeCell ref="B419:G419"/>
    <mergeCell ref="B427:G427"/>
    <mergeCell ref="B435:G435"/>
    <mergeCell ref="B443:G443"/>
    <mergeCell ref="J1:N1"/>
    <mergeCell ref="J2:N2"/>
    <mergeCell ref="J4:N4"/>
    <mergeCell ref="J5:N5"/>
    <mergeCell ref="J6:N6"/>
    <mergeCell ref="A8:N8"/>
    <mergeCell ref="B267:G267"/>
    <mergeCell ref="B251:G251"/>
    <mergeCell ref="B259:G259"/>
    <mergeCell ref="B363:G363"/>
    <mergeCell ref="B355:G355"/>
    <mergeCell ref="B339:G339"/>
    <mergeCell ref="B347:G347"/>
    <mergeCell ref="B331:G331"/>
    <mergeCell ref="B275:G275"/>
    <mergeCell ref="B283:G283"/>
    <mergeCell ref="B315:G315"/>
    <mergeCell ref="B323:G323"/>
    <mergeCell ref="B291:G291"/>
    <mergeCell ref="B299:G299"/>
    <mergeCell ref="B307:G307"/>
    <mergeCell ref="B379:G379"/>
    <mergeCell ref="B387:G387"/>
    <mergeCell ref="B395:G395"/>
    <mergeCell ref="B403:G403"/>
    <mergeCell ref="B371:G371"/>
  </mergeCells>
  <pageMargins left="0.27559055118110237" right="0.27559055118110237" top="0.74803149606299213" bottom="0.74803149606299213" header="0.31496062992125984" footer="0.31496062992125984"/>
  <pageSetup paperSize="9" scale="5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topLeftCell="A67" workbookViewId="0">
      <selection activeCell="M67" sqref="M67"/>
    </sheetView>
  </sheetViews>
  <sheetFormatPr defaultColWidth="8.88671875" defaultRowHeight="14.4"/>
  <cols>
    <col min="1" max="1" width="8.88671875" style="182"/>
    <col min="2" max="2" width="25.6640625" style="182" customWidth="1"/>
    <col min="3" max="3" width="20.109375" style="182" customWidth="1"/>
    <col min="4" max="4" width="23.33203125" style="182" customWidth="1"/>
    <col min="5" max="5" width="6" style="182" customWidth="1"/>
    <col min="6" max="6" width="8.109375" style="182" customWidth="1"/>
    <col min="7" max="7" width="11.33203125" style="182" customWidth="1"/>
    <col min="8" max="8" width="6.109375" style="182" customWidth="1"/>
    <col min="9" max="9" width="7.88671875" style="182" customWidth="1"/>
    <col min="10" max="10" width="10.33203125" style="182" customWidth="1"/>
    <col min="11" max="11" width="8.88671875" style="182" customWidth="1"/>
    <col min="12" max="12" width="13.88671875" style="182" customWidth="1"/>
    <col min="13" max="16384" width="8.88671875" style="182"/>
  </cols>
  <sheetData>
    <row r="1" spans="1:12" ht="15.6">
      <c r="C1" s="217"/>
      <c r="D1" s="218" t="s">
        <v>1182</v>
      </c>
      <c r="E1" s="217"/>
      <c r="F1" s="217"/>
      <c r="G1" s="217"/>
    </row>
    <row r="2" spans="1:12" ht="15.6">
      <c r="C2" s="217"/>
      <c r="D2" s="218" t="s">
        <v>1183</v>
      </c>
      <c r="E2" s="217"/>
      <c r="F2" s="217"/>
      <c r="G2" s="217"/>
    </row>
    <row r="3" spans="1:12" ht="15.6">
      <c r="C3" s="217"/>
      <c r="D3" s="218" t="s">
        <v>1184</v>
      </c>
      <c r="E3" s="217"/>
      <c r="F3" s="217"/>
      <c r="G3" s="217"/>
    </row>
    <row r="4" spans="1:12" ht="15.6">
      <c r="C4" s="217"/>
      <c r="D4" s="218" t="s">
        <v>1185</v>
      </c>
      <c r="E4" s="217"/>
      <c r="F4" s="217"/>
      <c r="G4" s="217"/>
    </row>
    <row r="5" spans="1:12" ht="15.6">
      <c r="C5" s="217"/>
      <c r="D5" s="218" t="s">
        <v>1186</v>
      </c>
      <c r="E5" s="217"/>
      <c r="F5" s="217"/>
      <c r="G5" s="217"/>
    </row>
    <row r="6" spans="1:12" ht="15.6">
      <c r="C6" s="217"/>
      <c r="D6" s="218" t="s">
        <v>1187</v>
      </c>
      <c r="E6" s="217"/>
      <c r="F6" s="217"/>
      <c r="G6" s="217"/>
      <c r="H6" s="183"/>
    </row>
    <row r="7" spans="1:12" ht="15.6">
      <c r="A7" s="112" t="s">
        <v>1224</v>
      </c>
      <c r="C7" s="217"/>
      <c r="D7" s="218" t="s">
        <v>1189</v>
      </c>
      <c r="E7" s="217"/>
      <c r="F7" s="217"/>
      <c r="G7" s="217"/>
      <c r="H7" s="183" t="s">
        <v>1220</v>
      </c>
    </row>
    <row r="8" spans="1:12" s="84" customFormat="1" ht="12.75" customHeight="1">
      <c r="A8" s="394" t="s">
        <v>1190</v>
      </c>
      <c r="B8" s="391" t="s">
        <v>1191</v>
      </c>
      <c r="C8" s="391" t="s">
        <v>1192</v>
      </c>
      <c r="D8" s="391" t="s">
        <v>1193</v>
      </c>
      <c r="E8" s="391" t="s">
        <v>1194</v>
      </c>
      <c r="F8" s="386" t="s">
        <v>1195</v>
      </c>
      <c r="G8" s="386"/>
      <c r="H8" s="391" t="s">
        <v>1194</v>
      </c>
      <c r="I8" s="385" t="s">
        <v>1196</v>
      </c>
      <c r="J8" s="386"/>
      <c r="K8" s="387" t="s">
        <v>1197</v>
      </c>
      <c r="L8" s="386" t="s">
        <v>1198</v>
      </c>
    </row>
    <row r="9" spans="1:12" s="84" customFormat="1" ht="31.95" customHeight="1">
      <c r="A9" s="395"/>
      <c r="B9" s="396"/>
      <c r="C9" s="391"/>
      <c r="D9" s="391"/>
      <c r="E9" s="391"/>
      <c r="F9" s="184" t="s">
        <v>1199</v>
      </c>
      <c r="G9" s="98" t="s">
        <v>1188</v>
      </c>
      <c r="H9" s="391"/>
      <c r="I9" s="143" t="s">
        <v>1199</v>
      </c>
      <c r="J9" s="99" t="s">
        <v>1188</v>
      </c>
      <c r="K9" s="388"/>
      <c r="L9" s="385"/>
    </row>
    <row r="10" spans="1:12" s="106" customFormat="1" ht="10.199999999999999" customHeight="1">
      <c r="A10" s="402">
        <v>1</v>
      </c>
      <c r="B10" s="397" t="s">
        <v>1200</v>
      </c>
      <c r="C10" s="76" t="s">
        <v>12</v>
      </c>
      <c r="D10" s="100" t="s">
        <v>1201</v>
      </c>
      <c r="E10" s="185">
        <v>1</v>
      </c>
      <c r="F10" s="185">
        <v>5</v>
      </c>
      <c r="G10" s="186">
        <f>'пр1_ПРАЙС_09.11.2023 '!D30*'импланты(комплекс)'!E10</f>
        <v>560</v>
      </c>
      <c r="H10" s="187"/>
      <c r="I10" s="186"/>
      <c r="J10" s="186"/>
      <c r="K10" s="105"/>
      <c r="L10" s="381"/>
    </row>
    <row r="11" spans="1:12" s="106" customFormat="1" ht="10.199999999999999" customHeight="1">
      <c r="A11" s="402"/>
      <c r="B11" s="397"/>
      <c r="C11" s="76" t="s">
        <v>14</v>
      </c>
      <c r="D11" s="100" t="s">
        <v>15</v>
      </c>
      <c r="E11" s="188">
        <v>2</v>
      </c>
      <c r="F11" s="188">
        <v>6</v>
      </c>
      <c r="G11" s="186">
        <f>'пр1_ПРАЙС_09.11.2023 '!D31*'импланты(комплекс)'!E11</f>
        <v>820</v>
      </c>
      <c r="H11" s="187"/>
      <c r="I11" s="185"/>
      <c r="J11" s="186"/>
      <c r="K11" s="105"/>
      <c r="L11" s="382"/>
    </row>
    <row r="12" spans="1:12" s="106" customFormat="1" ht="10.199999999999999" customHeight="1">
      <c r="A12" s="402"/>
      <c r="B12" s="397"/>
      <c r="C12" s="76" t="s">
        <v>21</v>
      </c>
      <c r="D12" s="100" t="s">
        <v>22</v>
      </c>
      <c r="E12" s="185"/>
      <c r="F12" s="185">
        <v>10</v>
      </c>
      <c r="G12" s="186"/>
      <c r="H12" s="187"/>
      <c r="I12" s="188"/>
      <c r="J12" s="186"/>
      <c r="K12" s="105"/>
      <c r="L12" s="382"/>
    </row>
    <row r="13" spans="1:12" s="106" customFormat="1" ht="10.199999999999999" customHeight="1">
      <c r="A13" s="402"/>
      <c r="B13" s="397"/>
      <c r="C13" s="78" t="s">
        <v>25</v>
      </c>
      <c r="D13" s="100" t="s">
        <v>26</v>
      </c>
      <c r="E13" s="185"/>
      <c r="F13" s="185">
        <v>12</v>
      </c>
      <c r="G13" s="186"/>
      <c r="H13" s="187"/>
      <c r="I13" s="185"/>
      <c r="J13" s="186"/>
      <c r="K13" s="105"/>
      <c r="L13" s="382"/>
    </row>
    <row r="14" spans="1:12" s="106" customFormat="1" ht="10.199999999999999" customHeight="1">
      <c r="A14" s="402"/>
      <c r="B14" s="397"/>
      <c r="C14" s="79" t="s">
        <v>27</v>
      </c>
      <c r="D14" s="101" t="s">
        <v>28</v>
      </c>
      <c r="E14" s="185"/>
      <c r="F14" s="185">
        <v>13</v>
      </c>
      <c r="G14" s="186"/>
      <c r="H14" s="187"/>
      <c r="I14" s="185"/>
      <c r="J14" s="186"/>
      <c r="K14" s="105"/>
      <c r="L14" s="382"/>
    </row>
    <row r="15" spans="1:12" s="106" customFormat="1" ht="20.399999999999999" customHeight="1">
      <c r="A15" s="402"/>
      <c r="B15" s="397"/>
      <c r="C15" s="102" t="s">
        <v>308</v>
      </c>
      <c r="D15" s="103" t="s">
        <v>1202</v>
      </c>
      <c r="E15" s="104">
        <v>1</v>
      </c>
      <c r="F15" s="104">
        <v>162</v>
      </c>
      <c r="G15" s="186">
        <f>'пр1_ПРАЙС_09.11.2023 '!D192*'импланты(комплекс)'!E15</f>
        <v>5510</v>
      </c>
      <c r="H15" s="104"/>
      <c r="I15" s="185"/>
      <c r="J15" s="186"/>
      <c r="K15" s="105"/>
      <c r="L15" s="382"/>
    </row>
    <row r="16" spans="1:12" s="106" customFormat="1" ht="12.6" customHeight="1">
      <c r="A16" s="402"/>
      <c r="B16" s="397"/>
      <c r="C16" s="107" t="s">
        <v>472</v>
      </c>
      <c r="D16" s="108" t="s">
        <v>473</v>
      </c>
      <c r="E16" s="109">
        <v>1</v>
      </c>
      <c r="F16" s="109">
        <v>245</v>
      </c>
      <c r="G16" s="186">
        <f>'пр1_ПРАЙС_09.11.2023 '!D276*'импланты(комплекс)'!E16</f>
        <v>790</v>
      </c>
      <c r="H16" s="109"/>
      <c r="I16" s="104"/>
      <c r="J16" s="186"/>
      <c r="K16" s="110"/>
      <c r="L16" s="382"/>
    </row>
    <row r="17" spans="1:13" s="106" customFormat="1" ht="10.199999999999999" customHeight="1">
      <c r="A17" s="402"/>
      <c r="B17" s="397"/>
      <c r="C17" s="107" t="s">
        <v>306</v>
      </c>
      <c r="D17" s="108" t="s">
        <v>307</v>
      </c>
      <c r="E17" s="109">
        <v>1</v>
      </c>
      <c r="F17" s="109">
        <v>161</v>
      </c>
      <c r="G17" s="186">
        <f>'пр1_ПРАЙС_09.11.2023 '!D191*'импланты(комплекс)'!E17</f>
        <v>1510</v>
      </c>
      <c r="H17" s="109"/>
      <c r="I17" s="109"/>
      <c r="J17" s="186"/>
      <c r="K17" s="110"/>
      <c r="L17" s="382"/>
    </row>
    <row r="18" spans="1:13" s="106" customFormat="1" ht="30.6">
      <c r="A18" s="402"/>
      <c r="B18" s="397"/>
      <c r="C18" s="102" t="s">
        <v>484</v>
      </c>
      <c r="D18" s="89" t="s">
        <v>485</v>
      </c>
      <c r="E18" s="104"/>
      <c r="F18" s="104"/>
      <c r="G18" s="228"/>
      <c r="H18" s="104">
        <v>1</v>
      </c>
      <c r="I18" s="109">
        <v>251</v>
      </c>
      <c r="J18" s="186">
        <f>'пр1_ПРАЙС_09.11.2023 '!D282*H18</f>
        <v>3940</v>
      </c>
      <c r="K18" s="105"/>
      <c r="L18" s="382"/>
    </row>
    <row r="19" spans="1:13" s="106" customFormat="1" ht="20.399999999999999">
      <c r="A19" s="402"/>
      <c r="B19" s="397"/>
      <c r="C19" s="102" t="s">
        <v>29</v>
      </c>
      <c r="D19" s="89" t="s">
        <v>30</v>
      </c>
      <c r="E19" s="104">
        <v>2</v>
      </c>
      <c r="F19" s="104">
        <v>14</v>
      </c>
      <c r="G19" s="230">
        <f>'пр1_ПРАЙС_09.11.2023 '!D39*'импланты(комплекс)'!E19</f>
        <v>740</v>
      </c>
      <c r="H19" s="104"/>
      <c r="I19" s="104"/>
      <c r="J19" s="186"/>
      <c r="K19" s="105"/>
      <c r="L19" s="382"/>
    </row>
    <row r="20" spans="1:13" s="106" customFormat="1" ht="10.199999999999999" customHeight="1">
      <c r="A20" s="402"/>
      <c r="B20" s="397"/>
      <c r="C20" s="102" t="s">
        <v>388</v>
      </c>
      <c r="D20" s="89" t="s">
        <v>389</v>
      </c>
      <c r="E20" s="104"/>
      <c r="F20" s="104"/>
      <c r="G20" s="229"/>
      <c r="H20" s="104">
        <v>1</v>
      </c>
      <c r="I20" s="104">
        <v>203</v>
      </c>
      <c r="J20" s="186">
        <f>'пр1_ПРАЙС_09.11.2023 '!D234*H20</f>
        <v>920</v>
      </c>
      <c r="K20" s="105"/>
      <c r="L20" s="382"/>
    </row>
    <row r="21" spans="1:13" s="106" customFormat="1" ht="11.4" customHeight="1">
      <c r="A21" s="402"/>
      <c r="B21" s="397"/>
      <c r="C21" s="102" t="s">
        <v>366</v>
      </c>
      <c r="D21" s="89" t="s">
        <v>367</v>
      </c>
      <c r="E21" s="104">
        <v>1</v>
      </c>
      <c r="F21" s="104">
        <v>192</v>
      </c>
      <c r="G21" s="186">
        <f>'пр1_ПРАЙС_09.11.2023 '!D221*'импланты(комплекс)'!E21</f>
        <v>180</v>
      </c>
      <c r="H21" s="104"/>
      <c r="I21" s="104"/>
      <c r="J21" s="186"/>
      <c r="K21" s="105"/>
      <c r="L21" s="382"/>
    </row>
    <row r="22" spans="1:13" s="106" customFormat="1" ht="20.399999999999999">
      <c r="A22" s="402"/>
      <c r="B22" s="397"/>
      <c r="C22" s="102" t="s">
        <v>52</v>
      </c>
      <c r="D22" s="90" t="s">
        <v>53</v>
      </c>
      <c r="E22" s="104">
        <v>1</v>
      </c>
      <c r="F22" s="104">
        <v>27</v>
      </c>
      <c r="G22" s="189">
        <f>'пр1_ПРАЙС_09.11.2023 '!D53*E22</f>
        <v>180</v>
      </c>
      <c r="H22" s="104"/>
      <c r="I22" s="104"/>
      <c r="J22" s="186"/>
      <c r="K22" s="105"/>
      <c r="L22" s="382"/>
    </row>
    <row r="23" spans="1:13" s="106" customFormat="1" ht="20.399999999999999">
      <c r="A23" s="402"/>
      <c r="B23" s="397"/>
      <c r="C23" s="102"/>
      <c r="D23" s="90" t="str">
        <f>'пр1_ПРАЙС_09.11.2023 '!C344</f>
        <v xml:space="preserve">Применение Скандонест + игла (карпульный  анестетик)                                               </v>
      </c>
      <c r="E23" s="104">
        <v>1</v>
      </c>
      <c r="F23" s="104">
        <v>305</v>
      </c>
      <c r="G23" s="189">
        <f>'пр1_ПРАЙС_09.11.2023 '!D344 *E23</f>
        <v>170</v>
      </c>
      <c r="H23" s="104"/>
      <c r="I23" s="104"/>
      <c r="J23" s="186"/>
      <c r="K23" s="105"/>
      <c r="L23" s="382"/>
    </row>
    <row r="24" spans="1:13" s="106" customFormat="1" ht="20.399999999999999">
      <c r="A24" s="402"/>
      <c r="B24" s="397"/>
      <c r="C24" s="102" t="s">
        <v>375</v>
      </c>
      <c r="D24" s="89" t="s">
        <v>376</v>
      </c>
      <c r="E24" s="104">
        <v>1</v>
      </c>
      <c r="F24" s="104">
        <v>197</v>
      </c>
      <c r="G24" s="186">
        <f>'пр1_ПРАЙС_09.11.2023 '!D227*E24</f>
        <v>310</v>
      </c>
      <c r="H24" s="104"/>
      <c r="I24" s="104"/>
      <c r="J24" s="186"/>
      <c r="K24" s="105"/>
      <c r="L24" s="382"/>
    </row>
    <row r="25" spans="1:13" s="106" customFormat="1" ht="13.2" customHeight="1">
      <c r="A25" s="402"/>
      <c r="B25" s="397"/>
      <c r="C25" s="102" t="s">
        <v>366</v>
      </c>
      <c r="D25" s="89" t="s">
        <v>367</v>
      </c>
      <c r="E25" s="104">
        <v>1</v>
      </c>
      <c r="F25" s="104">
        <v>192</v>
      </c>
      <c r="G25" s="186">
        <f>'пр1_ПРАЙС_09.11.2023 '!D222*E26</f>
        <v>300</v>
      </c>
      <c r="H25" s="104"/>
      <c r="I25" s="104"/>
      <c r="J25" s="186"/>
      <c r="K25" s="105"/>
      <c r="L25" s="382"/>
    </row>
    <row r="26" spans="1:13" s="106" customFormat="1" ht="10.199999999999999" customHeight="1">
      <c r="A26" s="402"/>
      <c r="B26" s="397"/>
      <c r="C26" s="102" t="s">
        <v>370</v>
      </c>
      <c r="D26" s="89" t="s">
        <v>371</v>
      </c>
      <c r="E26" s="104">
        <v>1</v>
      </c>
      <c r="F26" s="104">
        <v>194</v>
      </c>
      <c r="G26" s="186">
        <v>560</v>
      </c>
      <c r="H26" s="104"/>
      <c r="I26" s="104"/>
      <c r="J26" s="186"/>
      <c r="K26" s="105"/>
      <c r="L26" s="382"/>
    </row>
    <row r="27" spans="1:13" s="106" customFormat="1" ht="20.399999999999999">
      <c r="A27" s="402"/>
      <c r="B27" s="397"/>
      <c r="C27" s="102" t="s">
        <v>352</v>
      </c>
      <c r="D27" s="89" t="s">
        <v>353</v>
      </c>
      <c r="E27" s="104">
        <v>1</v>
      </c>
      <c r="F27" s="104">
        <v>185</v>
      </c>
      <c r="G27" s="186">
        <f>'пр1_ПРАЙС_09.11.2023 '!D215*E27</f>
        <v>450</v>
      </c>
      <c r="H27" s="104"/>
      <c r="I27" s="104"/>
      <c r="J27" s="186"/>
      <c r="K27" s="105"/>
      <c r="L27" s="382"/>
    </row>
    <row r="28" spans="1:13" s="106" customFormat="1" ht="20.399999999999999">
      <c r="A28" s="402"/>
      <c r="B28" s="397"/>
      <c r="C28" s="102" t="s">
        <v>430</v>
      </c>
      <c r="D28" s="89" t="s">
        <v>353</v>
      </c>
      <c r="E28" s="104"/>
      <c r="F28" s="104"/>
      <c r="G28" s="186"/>
      <c r="H28" s="104">
        <v>1</v>
      </c>
      <c r="I28" s="104">
        <v>254</v>
      </c>
      <c r="J28" s="186">
        <f>'пр1_ПРАЙС_09.11.2023 '!D285*H28</f>
        <v>620</v>
      </c>
      <c r="K28" s="105"/>
      <c r="L28" s="382"/>
    </row>
    <row r="29" spans="1:13" s="84" customFormat="1" ht="34.950000000000003" customHeight="1">
      <c r="A29" s="403"/>
      <c r="B29" s="398"/>
      <c r="C29" s="122" t="s">
        <v>1203</v>
      </c>
      <c r="D29" s="124" t="s">
        <v>1204</v>
      </c>
      <c r="E29" s="126">
        <v>1</v>
      </c>
      <c r="F29" s="91"/>
      <c r="G29" s="190">
        <f>2080*E29</f>
        <v>2080</v>
      </c>
      <c r="H29" s="92"/>
      <c r="I29" s="82"/>
      <c r="J29" s="191"/>
      <c r="K29" s="93"/>
      <c r="L29" s="382"/>
      <c r="M29" s="94"/>
    </row>
    <row r="30" spans="1:13" s="84" customFormat="1" ht="10.95" customHeight="1">
      <c r="A30" s="403"/>
      <c r="B30" s="398"/>
      <c r="C30" s="122" t="s">
        <v>1203</v>
      </c>
      <c r="D30" s="124" t="s">
        <v>1205</v>
      </c>
      <c r="E30" s="126">
        <v>1</v>
      </c>
      <c r="F30" s="91"/>
      <c r="G30" s="190">
        <f>3470*E30</f>
        <v>3470</v>
      </c>
      <c r="H30" s="92"/>
      <c r="I30" s="91"/>
      <c r="J30" s="191"/>
      <c r="K30" s="93"/>
      <c r="L30" s="382"/>
    </row>
    <row r="31" spans="1:13" s="84" customFormat="1" ht="10.95" customHeight="1">
      <c r="A31" s="403"/>
      <c r="B31" s="398"/>
      <c r="C31" s="122" t="s">
        <v>1203</v>
      </c>
      <c r="D31" s="124" t="s">
        <v>1206</v>
      </c>
      <c r="E31" s="126">
        <v>1</v>
      </c>
      <c r="F31" s="91"/>
      <c r="G31" s="190">
        <f>3920*E31</f>
        <v>3920</v>
      </c>
      <c r="H31" s="92"/>
      <c r="I31" s="91"/>
      <c r="J31" s="191"/>
      <c r="K31" s="93"/>
      <c r="L31" s="382"/>
    </row>
    <row r="32" spans="1:13" s="84" customFormat="1" ht="31.95" customHeight="1">
      <c r="A32" s="403"/>
      <c r="B32" s="398"/>
      <c r="C32" s="122" t="s">
        <v>1203</v>
      </c>
      <c r="D32" s="124" t="s">
        <v>1207</v>
      </c>
      <c r="E32" s="126">
        <v>1</v>
      </c>
      <c r="F32" s="91"/>
      <c r="G32" s="190">
        <f>E32*1320</f>
        <v>1320</v>
      </c>
      <c r="H32" s="92"/>
      <c r="I32" s="91"/>
      <c r="J32" s="191"/>
      <c r="K32" s="93"/>
      <c r="L32" s="382"/>
    </row>
    <row r="33" spans="1:12" s="84" customFormat="1" ht="36.6" customHeight="1">
      <c r="A33" s="403"/>
      <c r="B33" s="398"/>
      <c r="C33" s="122" t="s">
        <v>1203</v>
      </c>
      <c r="D33" s="124" t="s">
        <v>1208</v>
      </c>
      <c r="E33" s="126">
        <v>1</v>
      </c>
      <c r="F33" s="91"/>
      <c r="G33" s="190">
        <f>590*E33</f>
        <v>590</v>
      </c>
      <c r="H33" s="92"/>
      <c r="I33" s="91"/>
      <c r="J33" s="191"/>
      <c r="K33" s="93"/>
      <c r="L33" s="382"/>
    </row>
    <row r="34" spans="1:12" s="84" customFormat="1" ht="37.950000000000003" customHeight="1">
      <c r="A34" s="403"/>
      <c r="B34" s="398"/>
      <c r="C34" s="122" t="s">
        <v>1203</v>
      </c>
      <c r="D34" s="124" t="s">
        <v>1209</v>
      </c>
      <c r="E34" s="126">
        <v>1</v>
      </c>
      <c r="F34" s="91"/>
      <c r="G34" s="190">
        <f>208*E34</f>
        <v>208</v>
      </c>
      <c r="H34" s="92"/>
      <c r="I34" s="192"/>
      <c r="J34" s="191"/>
      <c r="K34" s="93"/>
      <c r="L34" s="382"/>
    </row>
    <row r="35" spans="1:12" s="84" customFormat="1" ht="47.4" customHeight="1">
      <c r="A35" s="403"/>
      <c r="B35" s="398"/>
      <c r="C35" s="122" t="s">
        <v>1203</v>
      </c>
      <c r="D35" s="124" t="s">
        <v>1210</v>
      </c>
      <c r="E35" s="126">
        <v>1</v>
      </c>
      <c r="F35" s="91"/>
      <c r="G35" s="190">
        <f>400/10*E35</f>
        <v>40</v>
      </c>
      <c r="H35" s="92"/>
      <c r="I35" s="193"/>
      <c r="J35" s="191"/>
      <c r="K35" s="93"/>
      <c r="L35" s="382"/>
    </row>
    <row r="36" spans="1:12" s="84" customFormat="1" ht="45" customHeight="1">
      <c r="A36" s="403"/>
      <c r="B36" s="398"/>
      <c r="C36" s="122" t="s">
        <v>1203</v>
      </c>
      <c r="D36" s="124" t="s">
        <v>1211</v>
      </c>
      <c r="E36" s="126">
        <v>1</v>
      </c>
      <c r="F36" s="91"/>
      <c r="G36" s="194">
        <f>50/10*E36</f>
        <v>5</v>
      </c>
      <c r="H36" s="92"/>
      <c r="I36" s="192"/>
      <c r="J36" s="191"/>
      <c r="K36" s="93"/>
      <c r="L36" s="382"/>
    </row>
    <row r="37" spans="1:12" s="84" customFormat="1" ht="67.2" customHeight="1">
      <c r="A37" s="404"/>
      <c r="B37" s="399"/>
      <c r="C37" s="123" t="s">
        <v>1203</v>
      </c>
      <c r="D37" s="125" t="s">
        <v>1212</v>
      </c>
      <c r="E37" s="127">
        <v>1</v>
      </c>
      <c r="F37" s="95"/>
      <c r="G37" s="194">
        <f>50/10*E37</f>
        <v>5</v>
      </c>
      <c r="H37" s="96"/>
      <c r="I37" s="193"/>
      <c r="J37" s="195"/>
      <c r="K37" s="97"/>
      <c r="L37" s="382"/>
    </row>
    <row r="38" spans="1:12" s="166" customFormat="1" ht="57" customHeight="1">
      <c r="A38" s="405" t="s">
        <v>1213</v>
      </c>
      <c r="B38" s="406"/>
      <c r="C38" s="120" t="s">
        <v>1218</v>
      </c>
      <c r="D38" s="159" t="s">
        <v>1239</v>
      </c>
      <c r="E38" s="160"/>
      <c r="F38" s="161"/>
      <c r="G38" s="162">
        <f>SUM(G10:G37)</f>
        <v>23718</v>
      </c>
      <c r="H38" s="163"/>
      <c r="I38" s="164"/>
      <c r="J38" s="162">
        <f>SUM(J10:J37)</f>
        <v>5480</v>
      </c>
      <c r="K38" s="165"/>
      <c r="L38" s="121">
        <f>G38+J38</f>
        <v>29198</v>
      </c>
    </row>
    <row r="39" spans="1:12" s="166" customFormat="1" ht="30" customHeight="1">
      <c r="A39" s="178"/>
      <c r="B39" s="179"/>
      <c r="C39" s="180"/>
      <c r="D39" s="196"/>
      <c r="E39" s="197"/>
      <c r="F39" s="198"/>
      <c r="G39" s="199"/>
      <c r="H39" s="200"/>
      <c r="I39" s="201"/>
      <c r="J39" s="199"/>
      <c r="K39" s="202"/>
      <c r="L39" s="181"/>
    </row>
    <row r="40" spans="1:12" s="116" customFormat="1" ht="15" customHeight="1">
      <c r="A40" s="112"/>
      <c r="B40" s="113"/>
      <c r="C40" s="114"/>
      <c r="D40" s="203"/>
      <c r="E40" s="204"/>
      <c r="F40" s="205"/>
      <c r="G40" s="206"/>
      <c r="H40" s="207"/>
      <c r="I40" s="208"/>
      <c r="J40" s="206"/>
      <c r="K40" s="209"/>
      <c r="L40" s="115"/>
    </row>
    <row r="41" spans="1:12" s="116" customFormat="1" ht="15" customHeight="1">
      <c r="A41" s="112" t="s">
        <v>1223</v>
      </c>
      <c r="B41" s="113"/>
      <c r="C41" s="415" t="s">
        <v>1236</v>
      </c>
      <c r="D41" s="416"/>
      <c r="E41" s="416"/>
      <c r="F41" s="416"/>
      <c r="G41" s="416"/>
      <c r="H41" s="417"/>
      <c r="I41" s="208"/>
      <c r="J41" s="206"/>
      <c r="K41" s="209"/>
      <c r="L41" s="115"/>
    </row>
    <row r="42" spans="1:12" s="84" customFormat="1" ht="18.600000000000001" customHeight="1">
      <c r="A42" s="383" t="s">
        <v>1190</v>
      </c>
      <c r="B42" s="389" t="s">
        <v>1191</v>
      </c>
      <c r="C42" s="391" t="s">
        <v>1192</v>
      </c>
      <c r="D42" s="391" t="s">
        <v>1193</v>
      </c>
      <c r="E42" s="391" t="s">
        <v>1194</v>
      </c>
      <c r="F42" s="393" t="s">
        <v>1195</v>
      </c>
      <c r="G42" s="393"/>
      <c r="H42" s="391" t="s">
        <v>1194</v>
      </c>
      <c r="I42" s="392" t="s">
        <v>1196</v>
      </c>
      <c r="J42" s="393"/>
      <c r="K42" s="128" t="s">
        <v>1197</v>
      </c>
      <c r="L42" s="407" t="s">
        <v>1241</v>
      </c>
    </row>
    <row r="43" spans="1:12" s="84" customFormat="1" ht="42.6" customHeight="1">
      <c r="A43" s="383"/>
      <c r="B43" s="390"/>
      <c r="C43" s="391"/>
      <c r="D43" s="391"/>
      <c r="E43" s="391"/>
      <c r="F43" s="184" t="s">
        <v>1199</v>
      </c>
      <c r="G43" s="98" t="s">
        <v>1188</v>
      </c>
      <c r="H43" s="391"/>
      <c r="I43" s="143" t="s">
        <v>1199</v>
      </c>
      <c r="J43" s="99" t="s">
        <v>1188</v>
      </c>
      <c r="K43" s="83"/>
      <c r="L43" s="407"/>
    </row>
    <row r="44" spans="1:12" s="84" customFormat="1" ht="10.199999999999999" customHeight="1">
      <c r="A44" s="419">
        <v>2</v>
      </c>
      <c r="B44" s="409" t="s">
        <v>1242</v>
      </c>
      <c r="C44" s="76" t="s">
        <v>16</v>
      </c>
      <c r="D44" s="77" t="s">
        <v>17</v>
      </c>
      <c r="E44" s="192">
        <v>1</v>
      </c>
      <c r="F44" s="192">
        <v>7</v>
      </c>
      <c r="G44" s="191">
        <f>'пр1_ПРАЙС_09.11.2023 '!D32*E44</f>
        <v>560</v>
      </c>
      <c r="H44" s="210"/>
      <c r="I44" s="193"/>
      <c r="J44" s="191"/>
      <c r="K44" s="83"/>
      <c r="L44" s="382"/>
    </row>
    <row r="45" spans="1:12" s="84" customFormat="1" ht="10.199999999999999" customHeight="1">
      <c r="A45" s="420"/>
      <c r="B45" s="418"/>
      <c r="C45" s="78" t="s">
        <v>18</v>
      </c>
      <c r="D45" s="77" t="s">
        <v>19</v>
      </c>
      <c r="E45" s="192">
        <v>2</v>
      </c>
      <c r="F45" s="192">
        <v>8</v>
      </c>
      <c r="G45" s="191">
        <f>'пр1_ПРАЙС_09.11.2023 '!D33*E45</f>
        <v>820</v>
      </c>
      <c r="H45" s="210"/>
      <c r="I45" s="192"/>
      <c r="J45" s="191"/>
      <c r="K45" s="83"/>
      <c r="L45" s="382"/>
    </row>
    <row r="46" spans="1:12" s="84" customFormat="1" ht="36.6" customHeight="1">
      <c r="A46" s="420"/>
      <c r="B46" s="418"/>
      <c r="C46" s="123" t="s">
        <v>1203</v>
      </c>
      <c r="D46" s="125" t="s">
        <v>1214</v>
      </c>
      <c r="E46" s="211">
        <v>1</v>
      </c>
      <c r="F46" s="192"/>
      <c r="G46" s="190">
        <f>5450*E46</f>
        <v>5450</v>
      </c>
      <c r="H46" s="210"/>
      <c r="I46" s="192"/>
      <c r="J46" s="191"/>
      <c r="K46" s="83"/>
      <c r="L46" s="382"/>
    </row>
    <row r="47" spans="1:12" s="84" customFormat="1" ht="41.4" customHeight="1">
      <c r="A47" s="420"/>
      <c r="B47" s="418"/>
      <c r="C47" s="123" t="s">
        <v>1203</v>
      </c>
      <c r="D47" s="125" t="s">
        <v>1215</v>
      </c>
      <c r="E47" s="126">
        <v>1</v>
      </c>
      <c r="F47" s="82"/>
      <c r="G47" s="190">
        <f>1680*E47</f>
        <v>1680</v>
      </c>
      <c r="H47" s="82"/>
      <c r="I47" s="192"/>
      <c r="J47" s="191"/>
      <c r="K47" s="83"/>
      <c r="L47" s="382"/>
    </row>
    <row r="48" spans="1:12" s="84" customFormat="1" ht="37.799999999999997" customHeight="1">
      <c r="A48" s="420"/>
      <c r="B48" s="418"/>
      <c r="C48" s="85" t="s">
        <v>251</v>
      </c>
      <c r="D48" s="89" t="s">
        <v>252</v>
      </c>
      <c r="E48" s="86">
        <v>1</v>
      </c>
      <c r="F48" s="86">
        <v>134</v>
      </c>
      <c r="G48" s="191">
        <f>'пр1_ПРАЙС_09.11.2023 '!D162*E48</f>
        <v>2290</v>
      </c>
      <c r="H48" s="86"/>
      <c r="I48" s="82"/>
      <c r="J48" s="191"/>
      <c r="K48" s="87"/>
      <c r="L48" s="382"/>
    </row>
    <row r="49" spans="1:12" s="84" customFormat="1" ht="36" customHeight="1">
      <c r="A49" s="420"/>
      <c r="B49" s="418"/>
      <c r="C49" s="85" t="s">
        <v>235</v>
      </c>
      <c r="D49" s="89" t="s">
        <v>1216</v>
      </c>
      <c r="E49" s="86"/>
      <c r="F49" s="86">
        <v>126</v>
      </c>
      <c r="G49" s="191"/>
      <c r="H49" s="86"/>
      <c r="I49" s="86"/>
      <c r="J49" s="191"/>
      <c r="K49" s="87"/>
      <c r="L49" s="382"/>
    </row>
    <row r="50" spans="1:12" s="84" customFormat="1" ht="16.95" customHeight="1">
      <c r="A50" s="420"/>
      <c r="B50" s="418"/>
      <c r="C50" s="220" t="s">
        <v>263</v>
      </c>
      <c r="D50" s="221" t="s">
        <v>264</v>
      </c>
      <c r="E50" s="222">
        <v>0</v>
      </c>
      <c r="F50" s="222">
        <v>140</v>
      </c>
      <c r="G50" s="223"/>
      <c r="H50" s="222"/>
      <c r="I50" s="224"/>
      <c r="J50" s="225"/>
      <c r="K50" s="83"/>
      <c r="L50" s="382"/>
    </row>
    <row r="51" spans="1:12" s="84" customFormat="1" ht="47.4" customHeight="1">
      <c r="A51" s="420"/>
      <c r="B51" s="418"/>
      <c r="C51" s="134" t="s">
        <v>1203</v>
      </c>
      <c r="D51" s="131" t="s">
        <v>1221</v>
      </c>
      <c r="E51" s="132">
        <v>0</v>
      </c>
      <c r="F51" s="132"/>
      <c r="G51" s="213"/>
      <c r="H51" s="132"/>
      <c r="I51" s="133"/>
      <c r="J51" s="212"/>
      <c r="K51" s="83"/>
      <c r="L51" s="382"/>
    </row>
    <row r="52" spans="1:12" s="84" customFormat="1" ht="32.4" customHeight="1">
      <c r="A52" s="420"/>
      <c r="B52" s="418"/>
      <c r="C52" s="134" t="s">
        <v>1203</v>
      </c>
      <c r="D52" s="131" t="s">
        <v>1222</v>
      </c>
      <c r="E52" s="132">
        <v>0</v>
      </c>
      <c r="F52" s="132"/>
      <c r="G52" s="213"/>
      <c r="H52" s="132"/>
      <c r="I52" s="133"/>
      <c r="J52" s="212"/>
      <c r="K52" s="83"/>
      <c r="L52" s="382"/>
    </row>
    <row r="53" spans="1:12" s="84" customFormat="1" ht="22.95" customHeight="1">
      <c r="A53" s="420"/>
      <c r="B53" s="418"/>
      <c r="C53" s="80" t="s">
        <v>239</v>
      </c>
      <c r="D53" s="89" t="s">
        <v>240</v>
      </c>
      <c r="E53" s="82">
        <v>1</v>
      </c>
      <c r="F53" s="82" t="s">
        <v>1219</v>
      </c>
      <c r="G53" s="227">
        <f>'пр1_ПРАЙС_09.11.2023 '!D156*E53</f>
        <v>12490</v>
      </c>
      <c r="H53" s="82"/>
      <c r="I53" s="82"/>
      <c r="J53" s="191"/>
      <c r="K53" s="83"/>
      <c r="L53" s="382"/>
    </row>
    <row r="54" spans="1:12" s="84" customFormat="1" ht="29.4" customHeight="1">
      <c r="A54" s="420"/>
      <c r="B54" s="418"/>
      <c r="C54" s="80" t="s">
        <v>52</v>
      </c>
      <c r="D54" s="89" t="s">
        <v>53</v>
      </c>
      <c r="E54" s="82">
        <v>3</v>
      </c>
      <c r="F54" s="82">
        <v>27</v>
      </c>
      <c r="G54" s="226">
        <f>'пр1_ПРАЙС_09.11.2023 '!D53*E54</f>
        <v>540</v>
      </c>
      <c r="H54" s="82"/>
      <c r="I54" s="82"/>
      <c r="J54" s="191"/>
      <c r="K54" s="83"/>
      <c r="L54" s="382"/>
    </row>
    <row r="55" spans="1:12" s="84" customFormat="1" ht="12.6" customHeight="1">
      <c r="A55" s="420"/>
      <c r="B55" s="418"/>
      <c r="C55" s="80"/>
      <c r="D55" s="89" t="str">
        <f>'пр1_ПРАЙС_09.11.2023 '!C344</f>
        <v xml:space="preserve">Применение Скандонест + игла (карпульный  анестетик)                                               </v>
      </c>
      <c r="E55" s="82">
        <v>3</v>
      </c>
      <c r="F55" s="82">
        <v>305</v>
      </c>
      <c r="G55" s="191">
        <f>'пр1_ПРАЙС_09.11.2023 '!D344*E55</f>
        <v>510</v>
      </c>
      <c r="H55" s="82"/>
      <c r="I55" s="82"/>
      <c r="J55" s="191"/>
      <c r="K55" s="83"/>
      <c r="L55" s="382"/>
    </row>
    <row r="56" spans="1:12" s="84" customFormat="1" ht="10.199999999999999" customHeight="1">
      <c r="A56" s="420"/>
      <c r="B56" s="418"/>
      <c r="C56" s="80"/>
      <c r="D56" s="90"/>
      <c r="E56" s="82"/>
      <c r="F56" s="82"/>
      <c r="G56" s="214"/>
      <c r="H56" s="82"/>
      <c r="I56" s="82"/>
      <c r="J56" s="191"/>
      <c r="K56" s="83"/>
      <c r="L56" s="382"/>
    </row>
    <row r="57" spans="1:12" s="84" customFormat="1" ht="10.199999999999999" customHeight="1">
      <c r="A57" s="420"/>
      <c r="B57" s="418"/>
      <c r="C57" s="80"/>
      <c r="D57" s="90"/>
      <c r="E57" s="82"/>
      <c r="F57" s="82"/>
      <c r="G57" s="214"/>
      <c r="H57" s="82"/>
      <c r="I57" s="82"/>
      <c r="J57" s="191"/>
      <c r="K57" s="83"/>
      <c r="L57" s="382"/>
    </row>
    <row r="58" spans="1:12" s="84" customFormat="1" ht="10.199999999999999" customHeight="1">
      <c r="A58" s="421"/>
      <c r="B58" s="418"/>
      <c r="C58" s="85"/>
      <c r="D58" s="111"/>
      <c r="E58" s="86"/>
      <c r="F58" s="86"/>
      <c r="G58" s="195"/>
      <c r="H58" s="86"/>
      <c r="I58" s="86"/>
      <c r="J58" s="195"/>
      <c r="K58" s="87"/>
      <c r="L58" s="382"/>
    </row>
    <row r="59" spans="1:12" s="166" customFormat="1" ht="67.2" customHeight="1">
      <c r="A59" s="405" t="s">
        <v>1213</v>
      </c>
      <c r="B59" s="406"/>
      <c r="C59" s="135" t="s">
        <v>1226</v>
      </c>
      <c r="D59" s="159" t="str">
        <f>'пр1_ПРАЙС_09.11.2023 '!C336</f>
        <v xml:space="preserve">Имплантация. Хирургический этап (ссумарная стоимость 1 ед.)                                                                </v>
      </c>
      <c r="E59" s="160"/>
      <c r="F59" s="167">
        <v>297</v>
      </c>
      <c r="G59" s="162">
        <f>SUM(G44:G58)</f>
        <v>24340</v>
      </c>
      <c r="H59" s="163"/>
      <c r="I59" s="164"/>
      <c r="J59" s="162"/>
      <c r="K59" s="165"/>
      <c r="L59" s="121">
        <f>'пр1_ПРАЙС_09.11.2023 '!D336</f>
        <v>24340</v>
      </c>
    </row>
    <row r="60" spans="1:12" s="119" customFormat="1" ht="10.199999999999999" customHeight="1">
      <c r="A60" s="112"/>
      <c r="B60" s="113"/>
      <c r="C60" s="116"/>
      <c r="D60" s="117"/>
      <c r="E60" s="118"/>
      <c r="F60" s="118"/>
      <c r="G60" s="215" t="s">
        <v>1240</v>
      </c>
      <c r="H60" s="118"/>
      <c r="I60" s="118"/>
      <c r="J60" s="215"/>
      <c r="K60" s="129"/>
      <c r="L60" s="130"/>
    </row>
    <row r="61" spans="1:12" s="119" customFormat="1" ht="16.95" customHeight="1">
      <c r="A61" s="112" t="s">
        <v>1225</v>
      </c>
      <c r="B61" s="113"/>
      <c r="C61" s="415" t="s">
        <v>1236</v>
      </c>
      <c r="D61" s="416"/>
      <c r="E61" s="416"/>
      <c r="F61" s="416"/>
      <c r="G61" s="416"/>
      <c r="H61" s="417"/>
      <c r="I61" s="118"/>
      <c r="J61" s="215"/>
      <c r="K61" s="129"/>
      <c r="L61" s="130"/>
    </row>
    <row r="62" spans="1:12" s="84" customFormat="1" ht="19.95" customHeight="1">
      <c r="A62" s="383"/>
      <c r="B62" s="384" t="s">
        <v>1191</v>
      </c>
      <c r="C62" s="400" t="s">
        <v>1192</v>
      </c>
      <c r="D62" s="401" t="s">
        <v>1193</v>
      </c>
      <c r="E62" s="401" t="s">
        <v>1194</v>
      </c>
      <c r="F62" s="393" t="s">
        <v>1195</v>
      </c>
      <c r="G62" s="393"/>
      <c r="H62" s="401" t="s">
        <v>1194</v>
      </c>
      <c r="I62" s="392" t="s">
        <v>1196</v>
      </c>
      <c r="J62" s="393"/>
      <c r="K62" s="128" t="s">
        <v>1197</v>
      </c>
      <c r="L62" s="407" t="s">
        <v>1198</v>
      </c>
    </row>
    <row r="63" spans="1:12" s="84" customFormat="1" ht="33.6" customHeight="1">
      <c r="A63" s="383"/>
      <c r="B63" s="384"/>
      <c r="C63" s="389"/>
      <c r="D63" s="391"/>
      <c r="E63" s="391"/>
      <c r="F63" s="184" t="s">
        <v>1199</v>
      </c>
      <c r="G63" s="98" t="s">
        <v>1188</v>
      </c>
      <c r="H63" s="391"/>
      <c r="I63" s="143" t="s">
        <v>1199</v>
      </c>
      <c r="J63" s="99" t="s">
        <v>1188</v>
      </c>
      <c r="K63" s="83"/>
      <c r="L63" s="407"/>
    </row>
    <row r="64" spans="1:12" s="84" customFormat="1" ht="15" customHeight="1">
      <c r="A64" s="412">
        <v>3</v>
      </c>
      <c r="B64" s="409" t="str">
        <f>'пр1_ПРАЙС_09.11.2023 '!C514</f>
        <v xml:space="preserve">Имплантация. Хирургический этап синуслифтинг + Церабон (Cerabone) - натуральный костный материал 0,5-1,0 mm 0,5 ml + Мембрана коллагеновая рассасывающаяся (перикард) Jason (Джейсон) 15х20 mm (ссумарная стоимость 1 ед.)                                                                </v>
      </c>
      <c r="C64" s="155" t="s">
        <v>16</v>
      </c>
      <c r="D64" s="81" t="s">
        <v>17</v>
      </c>
      <c r="E64" s="155">
        <v>1</v>
      </c>
      <c r="F64" s="149">
        <v>7</v>
      </c>
      <c r="G64" s="216">
        <f>'пр1_ПРАЙС_09.11.2023 '!D32*E64</f>
        <v>560</v>
      </c>
      <c r="H64" s="155"/>
      <c r="I64" s="148"/>
      <c r="J64" s="156"/>
      <c r="K64" s="83"/>
      <c r="L64" s="407"/>
    </row>
    <row r="65" spans="1:12" s="84" customFormat="1" ht="18" customHeight="1">
      <c r="A65" s="413"/>
      <c r="B65" s="410"/>
      <c r="C65" s="155" t="s">
        <v>18</v>
      </c>
      <c r="D65" s="81" t="s">
        <v>19</v>
      </c>
      <c r="E65" s="155">
        <v>1</v>
      </c>
      <c r="F65" s="149">
        <v>8</v>
      </c>
      <c r="G65" s="216">
        <f>'пр1_ПРАЙС_09.11.2023 '!D33*E65</f>
        <v>410</v>
      </c>
      <c r="H65" s="155"/>
      <c r="I65" s="148"/>
      <c r="J65" s="156"/>
      <c r="K65" s="83"/>
      <c r="L65" s="408"/>
    </row>
    <row r="66" spans="1:12" s="84" customFormat="1" ht="18" customHeight="1">
      <c r="A66" s="413"/>
      <c r="B66" s="410"/>
      <c r="C66" s="155"/>
      <c r="D66" s="219"/>
      <c r="E66" s="155"/>
      <c r="F66" s="149"/>
      <c r="G66" s="216"/>
      <c r="H66" s="155"/>
      <c r="I66" s="148"/>
      <c r="J66" s="156"/>
      <c r="K66" s="83"/>
      <c r="L66" s="408"/>
    </row>
    <row r="67" spans="1:12" s="84" customFormat="1" ht="54.6" customHeight="1">
      <c r="A67" s="413"/>
      <c r="B67" s="410"/>
      <c r="C67" s="88" t="s">
        <v>239</v>
      </c>
      <c r="D67" s="89" t="s">
        <v>240</v>
      </c>
      <c r="E67" s="157">
        <v>1</v>
      </c>
      <c r="F67" s="82" t="s">
        <v>1219</v>
      </c>
      <c r="G67" s="216">
        <f>'пр1_ПРАЙС_09.11.2023 '!D156*E67</f>
        <v>12490</v>
      </c>
      <c r="H67" s="158"/>
      <c r="I67" s="88"/>
      <c r="J67" s="88"/>
      <c r="K67" s="83"/>
      <c r="L67" s="408"/>
    </row>
    <row r="68" spans="1:12" s="84" customFormat="1" ht="10.95" customHeight="1">
      <c r="A68" s="413"/>
      <c r="B68" s="410"/>
      <c r="C68" s="80" t="s">
        <v>263</v>
      </c>
      <c r="D68" s="89" t="s">
        <v>264</v>
      </c>
      <c r="E68" s="82">
        <v>1</v>
      </c>
      <c r="F68" s="82">
        <v>140</v>
      </c>
      <c r="G68" s="190">
        <f>'пр1_ПРАЙС_09.11.2023 '!D168</f>
        <v>5610</v>
      </c>
      <c r="H68" s="92"/>
      <c r="I68" s="91"/>
      <c r="J68" s="191"/>
      <c r="K68" s="93"/>
      <c r="L68" s="408"/>
    </row>
    <row r="69" spans="1:12" s="84" customFormat="1" ht="48" customHeight="1">
      <c r="A69" s="413"/>
      <c r="B69" s="410"/>
      <c r="C69" s="123" t="s">
        <v>1203</v>
      </c>
      <c r="D69" s="124" t="s">
        <v>1221</v>
      </c>
      <c r="E69" s="82">
        <v>1</v>
      </c>
      <c r="F69" s="91"/>
      <c r="G69" s="190">
        <f>9000*E69</f>
        <v>9000</v>
      </c>
      <c r="H69" s="92"/>
      <c r="I69" s="91"/>
      <c r="J69" s="191"/>
      <c r="K69" s="93"/>
      <c r="L69" s="408"/>
    </row>
    <row r="70" spans="1:12" s="84" customFormat="1" ht="33.6" customHeight="1">
      <c r="A70" s="414"/>
      <c r="B70" s="411"/>
      <c r="C70" s="123" t="s">
        <v>1203</v>
      </c>
      <c r="D70" s="124" t="s">
        <v>1222</v>
      </c>
      <c r="E70" s="82">
        <v>1</v>
      </c>
      <c r="F70" s="91"/>
      <c r="G70" s="190">
        <v>6830</v>
      </c>
      <c r="H70" s="92"/>
      <c r="I70" s="91"/>
      <c r="J70" s="191"/>
      <c r="K70" s="93"/>
      <c r="L70" s="408"/>
    </row>
    <row r="71" spans="1:12" s="166" customFormat="1" ht="31.2" customHeight="1">
      <c r="A71" s="405" t="s">
        <v>1213</v>
      </c>
      <c r="B71" s="406"/>
      <c r="C71" s="135" t="s">
        <v>1238</v>
      </c>
      <c r="D71" s="159"/>
      <c r="E71" s="160"/>
      <c r="F71" s="167">
        <f>'пр1_ПРАЙС_09.11.2023 '!A514</f>
        <v>546</v>
      </c>
      <c r="G71" s="162">
        <f>SUM(G64:G70)</f>
        <v>34900</v>
      </c>
      <c r="H71" s="163"/>
      <c r="I71" s="164"/>
      <c r="J71" s="162"/>
      <c r="K71" s="165"/>
      <c r="L71" s="121">
        <f>'пр1_ПРАЙС_09.11.2023 '!D514</f>
        <v>34900</v>
      </c>
    </row>
    <row r="75" spans="1:12">
      <c r="G75" s="231"/>
    </row>
  </sheetData>
  <mergeCells count="42">
    <mergeCell ref="A10:A37"/>
    <mergeCell ref="A38:B38"/>
    <mergeCell ref="A71:B71"/>
    <mergeCell ref="L64:L70"/>
    <mergeCell ref="B64:B70"/>
    <mergeCell ref="A64:A70"/>
    <mergeCell ref="C41:H41"/>
    <mergeCell ref="C61:H61"/>
    <mergeCell ref="A42:A43"/>
    <mergeCell ref="B44:B58"/>
    <mergeCell ref="L42:L43"/>
    <mergeCell ref="L44:L58"/>
    <mergeCell ref="A44:A58"/>
    <mergeCell ref="A59:B59"/>
    <mergeCell ref="L62:L63"/>
    <mergeCell ref="H62:H63"/>
    <mergeCell ref="B10:B37"/>
    <mergeCell ref="I62:J62"/>
    <mergeCell ref="C42:C43"/>
    <mergeCell ref="D42:D43"/>
    <mergeCell ref="E42:E43"/>
    <mergeCell ref="F42:G42"/>
    <mergeCell ref="C62:C63"/>
    <mergeCell ref="D62:D63"/>
    <mergeCell ref="E62:E63"/>
    <mergeCell ref="F62:G62"/>
    <mergeCell ref="L10:L37"/>
    <mergeCell ref="A62:A63"/>
    <mergeCell ref="B62:B63"/>
    <mergeCell ref="I8:J8"/>
    <mergeCell ref="K8:K9"/>
    <mergeCell ref="L8:L9"/>
    <mergeCell ref="B42:B43"/>
    <mergeCell ref="H42:H43"/>
    <mergeCell ref="I42:J42"/>
    <mergeCell ref="A8:A9"/>
    <mergeCell ref="B8:B9"/>
    <mergeCell ref="C8:C9"/>
    <mergeCell ref="D8:D9"/>
    <mergeCell ref="E8:E9"/>
    <mergeCell ref="F8:G8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Q21" sqref="Q21"/>
    </sheetView>
  </sheetViews>
  <sheetFormatPr defaultColWidth="8.88671875" defaultRowHeight="14.4"/>
  <cols>
    <col min="1" max="1" width="3.6640625" style="140" customWidth="1"/>
    <col min="2" max="2" width="19.33203125" style="140" customWidth="1"/>
    <col min="3" max="3" width="14" style="140" customWidth="1"/>
    <col min="4" max="4" width="47.88671875" style="140" customWidth="1"/>
    <col min="5" max="5" width="5.6640625" style="140" customWidth="1"/>
    <col min="6" max="6" width="9.33203125" style="140" customWidth="1"/>
    <col min="7" max="7" width="12.6640625" style="140" customWidth="1"/>
    <col min="8" max="11" width="8.88671875" style="140" hidden="1" customWidth="1"/>
    <col min="12" max="12" width="9.33203125" style="140" customWidth="1"/>
    <col min="13" max="13" width="13.33203125" style="140" customWidth="1"/>
    <col min="14" max="14" width="10.6640625" style="140" customWidth="1"/>
    <col min="15" max="16384" width="8.88671875" style="140"/>
  </cols>
  <sheetData>
    <row r="1" spans="1:14" ht="26.4" customHeight="1">
      <c r="A1" s="136"/>
      <c r="B1" s="415" t="s">
        <v>1236</v>
      </c>
      <c r="C1" s="422"/>
      <c r="D1" s="422"/>
      <c r="E1" s="422"/>
      <c r="F1" s="422"/>
      <c r="G1" s="423"/>
      <c r="H1" s="137"/>
      <c r="I1" s="138"/>
      <c r="J1" s="138"/>
      <c r="K1" s="139"/>
      <c r="L1" s="424" t="s">
        <v>1217</v>
      </c>
      <c r="M1" s="425"/>
      <c r="N1" s="426"/>
    </row>
    <row r="2" spans="1:14">
      <c r="A2" s="427" t="s">
        <v>1190</v>
      </c>
      <c r="B2" s="428" t="s">
        <v>1227</v>
      </c>
      <c r="C2" s="430" t="s">
        <v>1228</v>
      </c>
      <c r="D2" s="431" t="s">
        <v>1229</v>
      </c>
      <c r="E2" s="433" t="s">
        <v>1230</v>
      </c>
      <c r="F2" s="435" t="s">
        <v>1195</v>
      </c>
      <c r="G2" s="435"/>
      <c r="H2" s="433" t="s">
        <v>1194</v>
      </c>
      <c r="I2" s="436" t="s">
        <v>1196</v>
      </c>
      <c r="J2" s="435"/>
      <c r="K2" s="141" t="s">
        <v>1197</v>
      </c>
      <c r="L2" s="433" t="s">
        <v>1231</v>
      </c>
      <c r="M2" s="435" t="s">
        <v>1232</v>
      </c>
      <c r="N2" s="433" t="s">
        <v>1233</v>
      </c>
    </row>
    <row r="3" spans="1:14" ht="42.6" customHeight="1">
      <c r="A3" s="427"/>
      <c r="B3" s="429"/>
      <c r="C3" s="430"/>
      <c r="D3" s="432"/>
      <c r="E3" s="434"/>
      <c r="F3" s="142" t="s">
        <v>1199</v>
      </c>
      <c r="G3" s="142" t="s">
        <v>1234</v>
      </c>
      <c r="H3" s="434"/>
      <c r="I3" s="143" t="s">
        <v>1199</v>
      </c>
      <c r="J3" s="144" t="s">
        <v>1188</v>
      </c>
      <c r="K3" s="141"/>
      <c r="L3" s="434"/>
      <c r="M3" s="436"/>
      <c r="N3" s="434"/>
    </row>
    <row r="4" spans="1:14" ht="13.2" customHeight="1">
      <c r="A4" s="145">
        <v>1</v>
      </c>
      <c r="B4" s="437" t="s">
        <v>1235</v>
      </c>
      <c r="C4" s="146" t="str">
        <f>'[1]ПРАЙС 21.03.2022'!B8</f>
        <v>B01.064.002</v>
      </c>
      <c r="D4" s="147" t="str">
        <f>'[1]ПРАЙС 21.03.2022'!C8</f>
        <v>Прием (осмотр, консультация) врача-стоматолога повторный</v>
      </c>
      <c r="E4" s="148">
        <v>1</v>
      </c>
      <c r="F4" s="149">
        <f>'[1]ПРАЙС 21.03.2022'!A8</f>
        <v>2</v>
      </c>
      <c r="G4" s="150">
        <f>'[1]ПРАЙС 21.03.2022'!R8*E4</f>
        <v>410</v>
      </c>
      <c r="H4" s="148"/>
      <c r="I4" s="148"/>
      <c r="J4" s="151"/>
      <c r="K4" s="141"/>
      <c r="L4" s="439">
        <f>G16</f>
        <v>2590</v>
      </c>
      <c r="M4" s="439">
        <f>1800</f>
        <v>1800</v>
      </c>
      <c r="N4" s="440">
        <f>M4/L4-100%</f>
        <v>-0.30501930501930496</v>
      </c>
    </row>
    <row r="5" spans="1:14" ht="13.2" customHeight="1">
      <c r="A5" s="145">
        <v>2</v>
      </c>
      <c r="B5" s="438"/>
      <c r="C5" s="146" t="str">
        <f>'[1]ПРАЙС 21.03.2022'!B19</f>
        <v>А02.07.008</v>
      </c>
      <c r="D5" s="147" t="str">
        <f>'[1]ПРАЙС 21.03.2022'!C19</f>
        <v>Определение степени патологической подвижности зубов (за 6 зубов)</v>
      </c>
      <c r="E5" s="148">
        <v>1</v>
      </c>
      <c r="F5" s="149">
        <f>'[1]ПРАЙС 21.03.2022'!A19</f>
        <v>13</v>
      </c>
      <c r="G5" s="150">
        <f>'[1]ПРАЙС 21.03.2022'!R19*E5</f>
        <v>100</v>
      </c>
      <c r="H5" s="148"/>
      <c r="I5" s="148"/>
      <c r="J5" s="151"/>
      <c r="K5" s="141"/>
      <c r="L5" s="439"/>
      <c r="M5" s="439"/>
      <c r="N5" s="440"/>
    </row>
    <row r="6" spans="1:14" ht="13.2" customHeight="1">
      <c r="A6" s="145">
        <v>3</v>
      </c>
      <c r="B6" s="438"/>
      <c r="C6" s="146" t="str">
        <f>'[1]ПРАЙС 21.03.2022'!B23</f>
        <v>А02.07.000.000.018</v>
      </c>
      <c r="D6" s="147" t="str">
        <f>'[1]ПРАЙС 21.03.2022'!C23</f>
        <v>Определение индексов (ПИ, РМА)</v>
      </c>
      <c r="E6" s="145">
        <v>1</v>
      </c>
      <c r="F6" s="145">
        <f>'[1]ПРАЙС 21.03.2022'!A23</f>
        <v>17</v>
      </c>
      <c r="G6" s="150">
        <f>'[1]ПРАЙС 21.03.2022'!R23*E6</f>
        <v>110</v>
      </c>
      <c r="H6" s="152"/>
      <c r="I6" s="153"/>
      <c r="J6" s="153"/>
      <c r="K6" s="141"/>
      <c r="L6" s="439">
        <f>G16</f>
        <v>2590</v>
      </c>
      <c r="M6" s="439"/>
      <c r="N6" s="440"/>
    </row>
    <row r="7" spans="1:14" ht="13.2" customHeight="1">
      <c r="A7" s="145">
        <v>4</v>
      </c>
      <c r="B7" s="438"/>
      <c r="C7" s="146" t="str">
        <f>'[1]ПРАЙС 21.03.2022'!B18</f>
        <v>А02.07.006</v>
      </c>
      <c r="D7" s="147" t="str">
        <f>'[1]ПРАЙС 21.03.2022'!C18</f>
        <v>Определение прикуса</v>
      </c>
      <c r="E7" s="145">
        <v>1</v>
      </c>
      <c r="F7" s="145">
        <v>12</v>
      </c>
      <c r="G7" s="150">
        <f>'[1]ПРАЙС 21.03.2022'!R18*E7</f>
        <v>70</v>
      </c>
      <c r="H7" s="152"/>
      <c r="I7" s="153"/>
      <c r="J7" s="153"/>
      <c r="K7" s="141"/>
      <c r="L7" s="439"/>
      <c r="M7" s="439"/>
      <c r="N7" s="440"/>
    </row>
    <row r="8" spans="1:14" ht="13.2" customHeight="1">
      <c r="A8" s="145">
        <v>5</v>
      </c>
      <c r="B8" s="438"/>
      <c r="C8" s="146" t="str">
        <f>'[1]ПРАЙС 21.03.2022'!B33</f>
        <v>А11.07.000.000.015</v>
      </c>
      <c r="D8" s="147" t="str">
        <f>'[1]ПРАЙС 21.03.2022'!C33</f>
        <v>Инфильтрационная анестезия (челюстно-лицевая область)</v>
      </c>
      <c r="E8" s="145">
        <v>2</v>
      </c>
      <c r="F8" s="145">
        <f>'[1]ПРАЙС 21.03.2022'!A33</f>
        <v>26</v>
      </c>
      <c r="G8" s="150">
        <f>'[1]ПРАЙС 21.03.2022'!R33*E8</f>
        <v>360</v>
      </c>
      <c r="H8" s="152"/>
      <c r="I8" s="153"/>
      <c r="J8" s="153"/>
      <c r="K8" s="141"/>
      <c r="L8" s="439"/>
      <c r="M8" s="439"/>
      <c r="N8" s="440"/>
    </row>
    <row r="9" spans="1:14" ht="19.95" customHeight="1">
      <c r="A9" s="145">
        <v>6</v>
      </c>
      <c r="B9" s="438"/>
      <c r="C9" s="146" t="str">
        <f>'[1]ПРАЙС 21.03.2022'!B30</f>
        <v>А06.07.007</v>
      </c>
      <c r="D9" s="147" t="str">
        <f>'[1]ПРАЙС 21.03.2022'!C31</f>
        <v>Радиовизиография челюстно-лицевой области (чтение и описание 1 снимка)</v>
      </c>
      <c r="E9" s="145">
        <v>1</v>
      </c>
      <c r="F9" s="145">
        <v>23</v>
      </c>
      <c r="G9" s="150">
        <f>'[1]ПРАЙС 21.03.2022'!R30*E9</f>
        <v>180</v>
      </c>
      <c r="H9" s="152"/>
      <c r="I9" s="153"/>
      <c r="J9" s="153"/>
      <c r="K9" s="141"/>
      <c r="L9" s="439"/>
      <c r="M9" s="439"/>
      <c r="N9" s="440"/>
    </row>
    <row r="10" spans="1:14">
      <c r="A10" s="145">
        <v>7</v>
      </c>
      <c r="B10" s="438"/>
      <c r="C10" s="146" t="str">
        <f>'[1]ПРАЙС 21.03.2022'!B39</f>
        <v>А12.07.003</v>
      </c>
      <c r="D10" s="147" t="str">
        <f>'[1]ПРАЙС 21.03.2022'!C39</f>
        <v>Определение индексов гигиены полости рта</v>
      </c>
      <c r="E10" s="145">
        <v>1</v>
      </c>
      <c r="F10" s="145">
        <v>32</v>
      </c>
      <c r="G10" s="150">
        <f>'[1]ПРАЙС 21.03.2022'!R39*E10</f>
        <v>220</v>
      </c>
      <c r="H10" s="152"/>
      <c r="I10" s="153"/>
      <c r="J10" s="153"/>
      <c r="K10" s="141"/>
      <c r="L10" s="439"/>
      <c r="M10" s="439"/>
      <c r="N10" s="440"/>
    </row>
    <row r="11" spans="1:14" ht="21.6" customHeight="1">
      <c r="A11" s="145">
        <v>8</v>
      </c>
      <c r="B11" s="438"/>
      <c r="C11" s="146" t="str">
        <f>'[1]ПРАЙС 21.03.2022'!B51</f>
        <v>А16.07.000.000.080</v>
      </c>
      <c r="D11" s="147" t="str">
        <f>'[1]ПРАЙС 21.03.2022'!C51</f>
        <v xml:space="preserve">Аппликация лекарственного препарата на слизистую оболочку полости рта </v>
      </c>
      <c r="E11" s="145">
        <v>1</v>
      </c>
      <c r="F11" s="145">
        <v>43</v>
      </c>
      <c r="G11" s="150">
        <f>'[1]ПРАЙС 21.03.2022'!R51*E11</f>
        <v>70</v>
      </c>
      <c r="H11" s="152"/>
      <c r="I11" s="153"/>
      <c r="J11" s="153"/>
      <c r="K11" s="141"/>
      <c r="L11" s="439"/>
      <c r="M11" s="439"/>
      <c r="N11" s="440"/>
    </row>
    <row r="12" spans="1:14" ht="12.6" customHeight="1">
      <c r="A12" s="145">
        <v>9</v>
      </c>
      <c r="B12" s="438"/>
      <c r="C12" s="146" t="str">
        <f>'[1]ПРАЙС 21.03.2022'!B64</f>
        <v>А16.07.039</v>
      </c>
      <c r="D12" s="147" t="str">
        <f>'[1]ПРАЙС 21.03.2022'!C64</f>
        <v xml:space="preserve">Закрытый кюретаж при заболеваниях пародонта </v>
      </c>
      <c r="E12" s="145">
        <v>1</v>
      </c>
      <c r="F12" s="145">
        <v>56</v>
      </c>
      <c r="G12" s="150">
        <f>'[1]ПРАЙС 21.03.2022'!R64*E12</f>
        <v>370</v>
      </c>
      <c r="H12" s="152"/>
      <c r="I12" s="153"/>
      <c r="J12" s="153"/>
      <c r="K12" s="141"/>
      <c r="L12" s="439"/>
      <c r="M12" s="439"/>
      <c r="N12" s="440"/>
    </row>
    <row r="13" spans="1:14" ht="21.6" customHeight="1">
      <c r="A13" s="145">
        <v>10</v>
      </c>
      <c r="B13" s="438"/>
      <c r="C13" s="146" t="str">
        <f>'[1]ПРАЙС 21.03.2022'!B68</f>
        <v>А16.07.020.000.111</v>
      </c>
      <c r="D13" s="147" t="str">
        <f>'[1]ПРАЙС 21.03.2022'!C68</f>
        <v>Лечебная повязка на слизистую оболочку полости рта (взрослый и детский прием, 1 сеанс)</v>
      </c>
      <c r="E13" s="145">
        <v>1</v>
      </c>
      <c r="F13" s="145">
        <v>60</v>
      </c>
      <c r="G13" s="150">
        <f>'[1]ПРАЙС 21.03.2022'!R68*E13</f>
        <v>180</v>
      </c>
      <c r="H13" s="152"/>
      <c r="I13" s="153"/>
      <c r="J13" s="153"/>
      <c r="K13" s="141"/>
      <c r="L13" s="439"/>
      <c r="M13" s="439"/>
      <c r="N13" s="440"/>
    </row>
    <row r="14" spans="1:14" ht="21.6" customHeight="1">
      <c r="A14" s="145">
        <v>11</v>
      </c>
      <c r="B14" s="438"/>
      <c r="C14" s="146" t="str">
        <f>'[1]ПРАЙС 21.03.2022'!B76</f>
        <v>А16.07. 020.000.123</v>
      </c>
      <c r="D14" s="147" t="str">
        <f>'[1]ПРАЙС 21.03.2022'!C76</f>
        <v>Медикаментозное лечение пародонтальных карманов: орошение (группа зубов)</v>
      </c>
      <c r="E14" s="145">
        <v>1</v>
      </c>
      <c r="F14" s="145">
        <v>68</v>
      </c>
      <c r="G14" s="150">
        <f>'[1]ПРАЙС 21.03.2022'!R76*E14</f>
        <v>150</v>
      </c>
      <c r="H14" s="152"/>
      <c r="I14" s="153"/>
      <c r="J14" s="153"/>
      <c r="K14" s="141"/>
      <c r="L14" s="439"/>
      <c r="M14" s="439"/>
      <c r="N14" s="440"/>
    </row>
    <row r="15" spans="1:14" ht="12.6" customHeight="1">
      <c r="A15" s="145">
        <v>12</v>
      </c>
      <c r="B15" s="438"/>
      <c r="C15" s="146" t="str">
        <f>'[1]ПРАЙС 21.03.2022'!B65</f>
        <v>А16.07.025</v>
      </c>
      <c r="D15" s="147" t="str">
        <f>'[1]ПРАЙС 21.03.2022'!C65</f>
        <v>Избирательное пришлифовывание твердых тканей зубов (1 зуб)</v>
      </c>
      <c r="E15" s="145">
        <v>1</v>
      </c>
      <c r="F15" s="145">
        <v>57</v>
      </c>
      <c r="G15" s="150">
        <f>'[1]ПРАЙС 21.03.2022'!R65</f>
        <v>370</v>
      </c>
      <c r="H15" s="152"/>
      <c r="I15" s="153"/>
      <c r="J15" s="153"/>
      <c r="K15" s="141"/>
      <c r="L15" s="439"/>
      <c r="M15" s="439"/>
      <c r="N15" s="440"/>
    </row>
    <row r="16" spans="1:14" s="154" customFormat="1" ht="78" customHeight="1">
      <c r="A16" s="405" t="s">
        <v>1213</v>
      </c>
      <c r="B16" s="406"/>
      <c r="C16" s="168" t="s">
        <v>1237</v>
      </c>
      <c r="D16" s="169" t="str">
        <f>'пр1_ПРАЙС_09.11.2023 '!C572</f>
        <v>Закрытый кюретаж при заболеваниях пародонта в области зуба (полный комплекс манипуляций лечения)</v>
      </c>
      <c r="E16" s="170"/>
      <c r="F16" s="171">
        <v>614</v>
      </c>
      <c r="G16" s="172">
        <f>SUM(G4:G15)</f>
        <v>2590</v>
      </c>
      <c r="H16" s="173"/>
      <c r="I16" s="174"/>
      <c r="J16" s="174"/>
      <c r="K16" s="175"/>
      <c r="L16" s="176"/>
      <c r="M16" s="177">
        <f>M4</f>
        <v>1800</v>
      </c>
      <c r="N16" s="172">
        <f>M4-L4</f>
        <v>-790</v>
      </c>
    </row>
  </sheetData>
  <mergeCells count="18">
    <mergeCell ref="A16:B16"/>
    <mergeCell ref="L2:L3"/>
    <mergeCell ref="M2:M3"/>
    <mergeCell ref="N2:N3"/>
    <mergeCell ref="B4:B15"/>
    <mergeCell ref="L4:L15"/>
    <mergeCell ref="M4:M15"/>
    <mergeCell ref="N4:N15"/>
    <mergeCell ref="B1:G1"/>
    <mergeCell ref="L1:N1"/>
    <mergeCell ref="A2:A3"/>
    <mergeCell ref="B2:B3"/>
    <mergeCell ref="C2:C3"/>
    <mergeCell ref="D2:D3"/>
    <mergeCell ref="E2:E3"/>
    <mergeCell ref="F2:G2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пр1_ПРАЙС_09.11.2023 </vt:lpstr>
      <vt:lpstr>пр2_Перечень 09.11.2023</vt:lpstr>
      <vt:lpstr>15.08.2023 материалы</vt:lpstr>
      <vt:lpstr>импланты(комплекс)</vt:lpstr>
      <vt:lpstr>закрытый кюретаж(комплекс)</vt:lpstr>
      <vt:lpstr>'пр1_ПРАЙС_09.11.2023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</dc:creator>
  <cp:lastModifiedBy>User</cp:lastModifiedBy>
  <cp:lastPrinted>2023-07-13T07:06:05Z</cp:lastPrinted>
  <dcterms:created xsi:type="dcterms:W3CDTF">2019-05-22T06:13:19Z</dcterms:created>
  <dcterms:modified xsi:type="dcterms:W3CDTF">2023-12-25T05:58:07Z</dcterms:modified>
</cp:coreProperties>
</file>